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661" activeTab="0"/>
  </bookViews>
  <sheets>
    <sheet name="Data Entry Sheet" sheetId="1" r:id="rId1"/>
    <sheet name="Subsidy Estimate (PDE-2576)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<sst xmlns="http://schemas.openxmlformats.org/spreadsheetml/2006/main" count="62" uniqueCount="56">
  <si>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School District Data</t>
  </si>
  <si>
    <t>-</t>
  </si>
  <si>
    <t>Half Mill of Market Value</t>
  </si>
  <si>
    <t>Fiscal Year Data</t>
  </si>
  <si>
    <t>Nonpublic School Pupils Transported</t>
  </si>
  <si>
    <t>Total Pupils Transported</t>
  </si>
  <si>
    <t>Charter School Pupils Transported</t>
  </si>
  <si>
    <t xml:space="preserve">     Public Non Hazardous</t>
  </si>
  <si>
    <t xml:space="preserve">     Public Hazardous</t>
  </si>
  <si>
    <t xml:space="preserve">     Nonpublic</t>
  </si>
  <si>
    <t xml:space="preserve">     Outside District</t>
  </si>
  <si>
    <t xml:space="preserve">     Within District</t>
  </si>
  <si>
    <t>District Transportation - Aid Ratio Calculations to Determine State Share</t>
  </si>
  <si>
    <t xml:space="preserve">     Approved Cost</t>
  </si>
  <si>
    <t>Excess Cost</t>
  </si>
  <si>
    <t xml:space="preserve">         Less Half Mill Market Value</t>
  </si>
  <si>
    <t xml:space="preserve">     Estimated Approved Cost</t>
  </si>
  <si>
    <t xml:space="preserve">     Estimated State Share</t>
  </si>
  <si>
    <t xml:space="preserve">     Estimated SD Deduction</t>
  </si>
  <si>
    <t>Estimated Total Cost</t>
  </si>
  <si>
    <t>Public School Pupils Transported Due to Hazardous Walking Conditions</t>
  </si>
  <si>
    <t>Public School Pupils Transported (Include Charter School Pupils)</t>
  </si>
  <si>
    <t xml:space="preserve">      Approved Cost for LEA-Owned Service</t>
  </si>
  <si>
    <t xml:space="preserve">     Approved Cost for Contracted Service</t>
  </si>
  <si>
    <t xml:space="preserve">     Approved Cost for Fare-Based Service</t>
  </si>
  <si>
    <t>Estimated NPCS Subsidy:</t>
  </si>
  <si>
    <t>Calculations to Determine Estimated Pupil Transportation Subsidy</t>
  </si>
  <si>
    <t>Estimated Pupil Transportation Subsidy:</t>
  </si>
  <si>
    <t>Payable Year</t>
  </si>
  <si>
    <t>Calculations for Estimated Approved Costs</t>
  </si>
  <si>
    <t>Estimated Nonpublic and Charter School Pupil Transportation Subsidy</t>
  </si>
  <si>
    <t>Estimated State Share of District Transportation</t>
  </si>
  <si>
    <t>LEA-Owned Service (1)</t>
  </si>
  <si>
    <t>Contracted Service (2)</t>
  </si>
  <si>
    <t>Fare-Based Service (3)</t>
  </si>
  <si>
    <t>Total Approved Cost   (1 + 2 + 3):</t>
  </si>
  <si>
    <t xml:space="preserve">     Estimated Total Cost  (PDE Advance)</t>
  </si>
  <si>
    <t>Estimated Total Cost  (PDE Advance)</t>
  </si>
  <si>
    <t>Estimated Depreciation</t>
  </si>
  <si>
    <t xml:space="preserve">     Total Approved Cost  (SD + IU + AVTS)</t>
  </si>
  <si>
    <t xml:space="preserve">         Less Total State Share  (SD + IU + AVTS)</t>
  </si>
  <si>
    <t>IU Transportation</t>
  </si>
  <si>
    <t>AVTS Transportation</t>
  </si>
  <si>
    <t xml:space="preserve">     Estimated Excess Cost</t>
  </si>
  <si>
    <t xml:space="preserve"> Charter School Pupils</t>
  </si>
  <si>
    <t xml:space="preserve"> LEA-Owned Service</t>
  </si>
  <si>
    <t xml:space="preserve"> Contracted Service</t>
  </si>
  <si>
    <t xml:space="preserve"> Fare-Based Service</t>
  </si>
  <si>
    <t>Transported to Charter Schools Outside SD Boundary</t>
  </si>
  <si>
    <t>Transported to Charter Schools Within SD Boundary</t>
  </si>
  <si>
    <t xml:space="preserve"> Public and Nonpublic School Pupils</t>
  </si>
  <si>
    <t>Estimated Number of Pupils Transported</t>
  </si>
  <si>
    <t>School District Name</t>
  </si>
  <si>
    <r>
      <t>School Year of Data  (</t>
    </r>
    <r>
      <rPr>
        <i/>
        <sz val="9"/>
        <rFont val="Arial"/>
        <family val="2"/>
      </rPr>
      <t>e.g.</t>
    </r>
    <r>
      <rPr>
        <sz val="9"/>
        <rFont val="Arial"/>
        <family val="2"/>
      </rPr>
      <t xml:space="preserve"> 2007 </t>
    </r>
    <r>
      <rPr>
        <b/>
        <sz val="11"/>
        <rFont val="Arial"/>
        <family val="2"/>
      </rPr>
      <t>-</t>
    </r>
    <r>
      <rPr>
        <sz val="9"/>
        <rFont val="Arial"/>
        <family val="2"/>
      </rPr>
      <t xml:space="preserve"> 2008)</t>
    </r>
  </si>
  <si>
    <t>Worksheet to Estimate Pupil Transportation Subsidies - Data Entry Sheet</t>
  </si>
  <si>
    <t>Worksheet to Estimate Pupil Transportation Subsidies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</si>
</sst>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.0000"/>
    <numFmt numFmtId="171" formatCode="&quot;$&quot;#,##0"/>
    <numFmt numFmtId="172" formatCode="0.000000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2"/>
    </font>
    <font>
      <u val="single"/>
      <sz val="9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1"/>
      <color indexed="1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 indent="1"/>
      <protection/>
    </xf>
    <xf numFmtId="0" fontId="2" fillId="33" borderId="0" xfId="0" applyFont="1" applyFill="1" applyAlignment="1" applyProtection="1">
      <alignment horizontal="left" vertical="center"/>
      <protection/>
    </xf>
    <xf numFmtId="3" fontId="6" fillId="34" borderId="10" xfId="0" applyNumberFormat="1" applyFont="1" applyFill="1" applyBorder="1" applyAlignment="1" applyProtection="1">
      <alignment horizontal="left" vertical="center"/>
      <protection locked="0"/>
    </xf>
    <xf numFmtId="3" fontId="6" fillId="34" borderId="11" xfId="0" applyNumberFormat="1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4" fontId="6" fillId="34" borderId="11" xfId="0" applyNumberFormat="1" applyFont="1" applyFill="1" applyBorder="1" applyAlignment="1" applyProtection="1">
      <alignment horizontal="left" vertical="center"/>
      <protection locked="0"/>
    </xf>
    <xf numFmtId="171" fontId="6" fillId="34" borderId="11" xfId="0" applyNumberFormat="1" applyFont="1" applyFill="1" applyBorder="1" applyAlignment="1" applyProtection="1">
      <alignment horizontal="left" vertical="center"/>
      <protection locked="0"/>
    </xf>
    <xf numFmtId="10" fontId="6" fillId="34" borderId="11" xfId="0" applyNumberFormat="1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indent="1"/>
      <protection hidden="1"/>
    </xf>
    <xf numFmtId="0" fontId="2" fillId="33" borderId="0" xfId="0" applyFont="1" applyFill="1" applyAlignment="1" applyProtection="1">
      <alignment horizontal="left" vertical="center" indent="1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171" fontId="2" fillId="33" borderId="18" xfId="0" applyNumberFormat="1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171" fontId="2" fillId="33" borderId="0" xfId="0" applyNumberFormat="1" applyFont="1" applyFill="1" applyBorder="1" applyAlignment="1" applyProtection="1">
      <alignment/>
      <protection hidden="1"/>
    </xf>
    <xf numFmtId="2" fontId="2" fillId="33" borderId="17" xfId="0" applyNumberFormat="1" applyFont="1" applyFill="1" applyBorder="1" applyAlignment="1" applyProtection="1">
      <alignment horizontal="left" inden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69" fontId="2" fillId="33" borderId="0" xfId="0" applyNumberFormat="1" applyFont="1" applyFill="1" applyBorder="1" applyAlignment="1" applyProtection="1">
      <alignment/>
      <protection hidden="1"/>
    </xf>
    <xf numFmtId="164" fontId="2" fillId="33" borderId="18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left" indent="2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164" fontId="2" fillId="33" borderId="0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left" indent="1"/>
      <protection hidden="1"/>
    </xf>
    <xf numFmtId="172" fontId="2" fillId="33" borderId="0" xfId="0" applyNumberFormat="1" applyFont="1" applyFill="1" applyBorder="1" applyAlignment="1" applyProtection="1">
      <alignment horizontal="right"/>
      <protection hidden="1"/>
    </xf>
    <xf numFmtId="3" fontId="2" fillId="33" borderId="18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 vertical="top" indent="1"/>
      <protection hidden="1"/>
    </xf>
    <xf numFmtId="3" fontId="2" fillId="33" borderId="0" xfId="0" applyNumberFormat="1" applyFont="1" applyFill="1" applyBorder="1" applyAlignment="1" applyProtection="1">
      <alignment vertical="top"/>
      <protection hidden="1"/>
    </xf>
    <xf numFmtId="0" fontId="9" fillId="33" borderId="17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horizontal="left" vertical="top" inden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3" fontId="2" fillId="33" borderId="20" xfId="0" applyNumberFormat="1" applyFont="1" applyFill="1" applyBorder="1" applyAlignment="1" applyProtection="1">
      <alignment vertical="center"/>
      <protection hidden="1"/>
    </xf>
    <xf numFmtId="16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5" borderId="17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169" fontId="2" fillId="33" borderId="18" xfId="0" applyNumberFormat="1" applyFont="1" applyFill="1" applyBorder="1" applyAlignment="1" applyProtection="1">
      <alignment/>
      <protection hidden="1"/>
    </xf>
    <xf numFmtId="171" fontId="9" fillId="33" borderId="0" xfId="0" applyNumberFormat="1" applyFont="1" applyFill="1" applyBorder="1" applyAlignment="1" applyProtection="1">
      <alignment/>
      <protection hidden="1"/>
    </xf>
    <xf numFmtId="171" fontId="1" fillId="33" borderId="18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171" fontId="2" fillId="33" borderId="0" xfId="0" applyNumberFormat="1" applyFont="1" applyFill="1" applyBorder="1" applyAlignment="1" applyProtection="1">
      <alignment vertical="center"/>
      <protection hidden="1"/>
    </xf>
    <xf numFmtId="169" fontId="2" fillId="33" borderId="18" xfId="0" applyNumberFormat="1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/>
      <protection hidden="1"/>
    </xf>
    <xf numFmtId="169" fontId="2" fillId="33" borderId="0" xfId="0" applyNumberFormat="1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left" indent="1"/>
      <protection hidden="1"/>
    </xf>
    <xf numFmtId="171" fontId="1" fillId="33" borderId="0" xfId="0" applyNumberFormat="1" applyFont="1" applyFill="1" applyBorder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/>
      <protection hidden="1"/>
    </xf>
    <xf numFmtId="169" fontId="2" fillId="33" borderId="14" xfId="0" applyNumberFormat="1" applyFont="1" applyFill="1" applyBorder="1" applyAlignment="1" applyProtection="1">
      <alignment/>
      <protection hidden="1"/>
    </xf>
    <xf numFmtId="169" fontId="2" fillId="33" borderId="20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171" fontId="6" fillId="34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1" fontId="6" fillId="34" borderId="22" xfId="0" applyNumberFormat="1" applyFont="1" applyFill="1" applyBorder="1" applyAlignment="1" applyProtection="1">
      <alignment horizontal="left" vertical="center"/>
      <protection locked="0"/>
    </xf>
    <xf numFmtId="171" fontId="6" fillId="34" borderId="23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0" fontId="8" fillId="35" borderId="24" xfId="0" applyFont="1" applyFill="1" applyBorder="1" applyAlignment="1" applyProtection="1">
      <alignment vertical="center"/>
      <protection hidden="1"/>
    </xf>
    <xf numFmtId="171" fontId="2" fillId="33" borderId="0" xfId="0" applyNumberFormat="1" applyFont="1" applyFill="1" applyBorder="1" applyAlignment="1" applyProtection="1">
      <alignment horizontal="right"/>
      <protection hidden="1"/>
    </xf>
    <xf numFmtId="171" fontId="0" fillId="33" borderId="0" xfId="0" applyNumberFormat="1" applyFill="1" applyBorder="1" applyAlignment="1" applyProtection="1">
      <alignment horizontal="right"/>
      <protection hidden="1"/>
    </xf>
    <xf numFmtId="0" fontId="10" fillId="35" borderId="24" xfId="0" applyFont="1" applyFill="1" applyBorder="1" applyAlignment="1" applyProtection="1">
      <alignment horizontal="center" vertical="center"/>
      <protection hidden="1"/>
    </xf>
    <xf numFmtId="0" fontId="10" fillId="35" borderId="16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0" fillId="35" borderId="18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/>
      <protection hidden="1"/>
    </xf>
    <xf numFmtId="171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169" fontId="2" fillId="33" borderId="17" xfId="0" applyNumberFormat="1" applyFont="1" applyFill="1" applyBorder="1" applyAlignment="1" applyProtection="1">
      <alignment horizontal="left" indent="2"/>
      <protection hidden="1"/>
    </xf>
    <xf numFmtId="0" fontId="0" fillId="33" borderId="0" xfId="0" applyFill="1" applyBorder="1" applyAlignment="1" applyProtection="1">
      <alignment horizontal="left" indent="2"/>
      <protection hidden="1"/>
    </xf>
    <xf numFmtId="0" fontId="2" fillId="33" borderId="17" xfId="0" applyFont="1" applyFill="1" applyBorder="1" applyAlignment="1" applyProtection="1">
      <alignment horizontal="left" vertical="top" indent="1"/>
      <protection hidden="1"/>
    </xf>
    <xf numFmtId="0" fontId="2" fillId="33" borderId="0" xfId="0" applyFont="1" applyFill="1" applyBorder="1" applyAlignment="1" applyProtection="1">
      <alignment horizontal="left" vertical="top" indent="1"/>
      <protection hidden="1"/>
    </xf>
    <xf numFmtId="0" fontId="2" fillId="33" borderId="17" xfId="0" applyFont="1" applyFill="1" applyBorder="1" applyAlignment="1" applyProtection="1">
      <alignment horizontal="left" indent="1"/>
      <protection hidden="1"/>
    </xf>
    <xf numFmtId="0" fontId="2" fillId="33" borderId="0" xfId="0" applyFont="1" applyFill="1" applyBorder="1" applyAlignment="1" applyProtection="1">
      <alignment horizontal="left" indent="1"/>
      <protection hidden="1"/>
    </xf>
    <xf numFmtId="0" fontId="1" fillId="33" borderId="17" xfId="0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0" fontId="0" fillId="0" borderId="19" xfId="0" applyBorder="1" applyAlignment="1" applyProtection="1">
      <alignment horizontal="left" vertical="center" indent="1"/>
      <protection hidden="1"/>
    </xf>
    <xf numFmtId="0" fontId="0" fillId="0" borderId="14" xfId="0" applyBorder="1" applyAlignment="1" applyProtection="1">
      <alignment horizontal="left" vertical="center" indent="1"/>
      <protection hidden="1"/>
    </xf>
    <xf numFmtId="171" fontId="1" fillId="33" borderId="0" xfId="0" applyNumberFormat="1" applyFont="1" applyFill="1" applyBorder="1" applyAlignment="1" applyProtection="1">
      <alignment horizontal="right" vertical="center"/>
      <protection hidden="1"/>
    </xf>
    <xf numFmtId="171" fontId="0" fillId="33" borderId="0" xfId="0" applyNumberForma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" wrapText="1"/>
      <protection hidden="1"/>
    </xf>
    <xf numFmtId="0" fontId="11" fillId="33" borderId="0" xfId="0" applyFont="1" applyFill="1" applyAlignment="1" applyProtection="1">
      <alignment horizontal="center" wrapText="1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171" fontId="9" fillId="33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FFDF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1.00390625" style="10" bestFit="1" customWidth="1"/>
    <col min="2" max="2" width="11.7109375" style="10" customWidth="1"/>
    <col min="3" max="3" width="1.57421875" style="10" bestFit="1" customWidth="1"/>
    <col min="4" max="4" width="11.7109375" style="10" customWidth="1"/>
    <col min="5" max="5" width="9.7109375" style="10" customWidth="1"/>
    <col min="6" max="16384" width="9.140625" style="10" customWidth="1"/>
  </cols>
  <sheetData>
    <row r="1" spans="1:5" ht="16.5">
      <c r="A1" s="79" t="s">
        <v>54</v>
      </c>
      <c r="B1" s="79"/>
      <c r="C1" s="79"/>
      <c r="D1" s="79"/>
      <c r="E1" s="9"/>
    </row>
    <row r="2" ht="12">
      <c r="A2" s="11"/>
    </row>
    <row r="3" ht="12">
      <c r="A3" s="11"/>
    </row>
    <row r="4" spans="1:5" s="1" customFormat="1" ht="15.75" customHeight="1">
      <c r="A4" s="3" t="s">
        <v>52</v>
      </c>
      <c r="B4" s="74"/>
      <c r="C4" s="77"/>
      <c r="D4" s="77"/>
      <c r="E4" s="78"/>
    </row>
    <row r="5" s="1" customFormat="1" ht="12">
      <c r="A5" s="3"/>
    </row>
    <row r="6" s="2" customFormat="1" ht="19.5" customHeight="1">
      <c r="A6" s="7" t="s">
        <v>3</v>
      </c>
    </row>
    <row r="7" spans="1:5" s="1" customFormat="1" ht="15.75" customHeight="1">
      <c r="A7" s="3" t="s">
        <v>53</v>
      </c>
      <c r="B7" s="18"/>
      <c r="C7" s="19" t="s">
        <v>1</v>
      </c>
      <c r="D7" s="18"/>
      <c r="E7" s="4"/>
    </row>
    <row r="8" spans="1:5" s="1" customFormat="1" ht="15.75" customHeight="1">
      <c r="A8" s="3" t="s">
        <v>28</v>
      </c>
      <c r="B8" s="8">
        <f>IF(B7="","",B7+1)</f>
      </c>
      <c r="C8" s="20" t="s">
        <v>1</v>
      </c>
      <c r="D8" s="8">
        <f>IF(D7="","",D7+1)</f>
      </c>
      <c r="E8" s="4"/>
    </row>
    <row r="9" s="1" customFormat="1" ht="12">
      <c r="A9" s="3"/>
    </row>
    <row r="10" spans="1:4" s="2" customFormat="1" ht="15.75" customHeight="1">
      <c r="A10" s="24" t="str">
        <f>CONCATENATE(B7," ","STEB Market Value")</f>
        <v> STEB Market Value</v>
      </c>
      <c r="B10" s="74"/>
      <c r="C10" s="75"/>
      <c r="D10" s="76"/>
    </row>
    <row r="11" spans="1:2" s="2" customFormat="1" ht="15.75" customHeight="1">
      <c r="A11" s="24" t="str">
        <f>CONCATENATE(B8,C7,D8," ","Market Value Aid Ratio")</f>
        <v>- Market Value Aid Ratio</v>
      </c>
      <c r="B11" s="14"/>
    </row>
    <row r="12" s="17" customFormat="1" ht="15"/>
    <row r="13" s="2" customFormat="1" ht="19.5" customHeight="1">
      <c r="A13" s="7" t="s">
        <v>51</v>
      </c>
    </row>
    <row r="14" s="2" customFormat="1" ht="15" customHeight="1">
      <c r="A14" s="12" t="s">
        <v>50</v>
      </c>
    </row>
    <row r="15" spans="1:2" s="2" customFormat="1" ht="15.75" customHeight="1">
      <c r="A15" s="3" t="s">
        <v>21</v>
      </c>
      <c r="B15" s="6"/>
    </row>
    <row r="16" spans="1:2" s="2" customFormat="1" ht="15.75" customHeight="1">
      <c r="A16" s="3" t="s">
        <v>20</v>
      </c>
      <c r="B16" s="5"/>
    </row>
    <row r="17" spans="1:2" s="2" customFormat="1" ht="15.75" customHeight="1">
      <c r="A17" s="3" t="s">
        <v>4</v>
      </c>
      <c r="B17" s="6"/>
    </row>
    <row r="18" s="2" customFormat="1" ht="12">
      <c r="A18" s="3"/>
    </row>
    <row r="19" spans="1:2" s="2" customFormat="1" ht="15" customHeight="1">
      <c r="A19" s="12" t="s">
        <v>44</v>
      </c>
      <c r="B19" s="13"/>
    </row>
    <row r="20" spans="1:2" s="2" customFormat="1" ht="15.75" customHeight="1">
      <c r="A20" s="3" t="s">
        <v>48</v>
      </c>
      <c r="B20" s="6"/>
    </row>
    <row r="21" spans="1:2" s="2" customFormat="1" ht="15.75" customHeight="1">
      <c r="A21" s="3" t="s">
        <v>49</v>
      </c>
      <c r="B21" s="5"/>
    </row>
    <row r="22" s="17" customFormat="1" ht="15"/>
    <row r="23" s="2" customFormat="1" ht="19.5" customHeight="1">
      <c r="A23" s="7" t="str">
        <f>IF(AND(B7&gt;0,D7&gt;0),CONCATENATE("Estimated Approved Costs for School Year ",B7,C7,D7),"Estimated Approved Costs")</f>
        <v>Estimated Approved Costs</v>
      </c>
    </row>
    <row r="24" s="22" customFormat="1" ht="18" customHeight="1">
      <c r="A24" s="21" t="s">
        <v>45</v>
      </c>
    </row>
    <row r="25" spans="1:2" s="2" customFormat="1" ht="15.75" customHeight="1">
      <c r="A25" s="3" t="s">
        <v>19</v>
      </c>
      <c r="B25" s="15"/>
    </row>
    <row r="26" spans="1:2" s="2" customFormat="1" ht="15.75" customHeight="1">
      <c r="A26" s="3" t="str">
        <f>IF(AND(B7&gt;0,D7&gt;0),CONCATENATE(B7-1,C7,D7-1," Approved Cost as a Percentage of Total Cost"),"Approved Cost as a Percentage of Total Cost")</f>
        <v>Approved Cost as a Percentage of Total Cost</v>
      </c>
      <c r="B26" s="16"/>
    </row>
    <row r="27" s="22" customFormat="1" ht="18" customHeight="1">
      <c r="A27" s="21" t="s">
        <v>46</v>
      </c>
    </row>
    <row r="28" spans="1:2" s="2" customFormat="1" ht="15.75" customHeight="1">
      <c r="A28" s="3" t="s">
        <v>19</v>
      </c>
      <c r="B28" s="15"/>
    </row>
    <row r="29" spans="1:2" s="2" customFormat="1" ht="15.75" customHeight="1">
      <c r="A29" s="3" t="str">
        <f>IF(AND(B7&gt;0,D7&gt;0),CONCATENATE(B7-1,C7,D7-1," Approved Cost as a Percentage of Total Cost"),"Approved Cost as a Percentage of Total Cost")</f>
        <v>Approved Cost as a Percentage of Total Cost</v>
      </c>
      <c r="B29" s="16"/>
    </row>
    <row r="30" s="22" customFormat="1" ht="18" customHeight="1">
      <c r="A30" s="21" t="s">
        <v>47</v>
      </c>
    </row>
    <row r="31" spans="1:4" ht="15.75" customHeight="1">
      <c r="A31" s="3" t="s">
        <v>19</v>
      </c>
      <c r="B31" s="15"/>
      <c r="C31" s="2"/>
      <c r="D31" s="2"/>
    </row>
    <row r="32" spans="1:4" ht="15.75" customHeight="1">
      <c r="A32" s="3" t="str">
        <f>IF(AND(B7&gt;0,D7&gt;0),CONCATENATE(B7-1,C7,D7-1," Approved Cost as a Percentage of Total Cost"),"Approved Cost as a Percentage of Total Cost")</f>
        <v>Approved Cost as a Percentage of Total Cost</v>
      </c>
      <c r="B32" s="16"/>
      <c r="C32" s="2"/>
      <c r="D32" s="2"/>
    </row>
    <row r="33" s="17" customFormat="1" ht="15"/>
    <row r="34" s="2" customFormat="1" ht="19.5" customHeight="1">
      <c r="A34" s="7" t="str">
        <f>IF(AND(B7&gt;0,D7&gt;0),CONCATENATE("Estimated IU Transportation for School Year ",B7,C7,D7),"Estimated IU Transportation")</f>
        <v>Estimated IU Transportation</v>
      </c>
    </row>
    <row r="35" spans="1:4" ht="15.75" customHeight="1">
      <c r="A35" s="3" t="s">
        <v>37</v>
      </c>
      <c r="B35" s="15"/>
      <c r="C35" s="2"/>
      <c r="D35" s="2"/>
    </row>
    <row r="36" spans="1:4" ht="15.75" customHeight="1">
      <c r="A36" s="3" t="str">
        <f>IF(AND(B7&gt;0,D7&gt;0),CONCATENATE(B7-1,C7,D7-1," Approved Cost as a Percentage of Total Cost"),"Approved Cost as a Percentage of Total Cost")</f>
        <v>Approved Cost as a Percentage of Total Cost</v>
      </c>
      <c r="B36" s="16"/>
      <c r="C36" s="2"/>
      <c r="D36" s="2"/>
    </row>
    <row r="37" s="17" customFormat="1" ht="15"/>
    <row r="38" s="2" customFormat="1" ht="19.5" customHeight="1">
      <c r="A38" s="7" t="str">
        <f>IF(AND(B7&gt;0,D7&gt;0),CONCATENATE("Estimated AVTS Transportation for School Year ",B7,C7,D7),"Estimated AVTS Transportation")</f>
        <v>Estimated AVTS Transportation</v>
      </c>
    </row>
    <row r="39" spans="1:4" ht="15.75" customHeight="1">
      <c r="A39" s="3" t="s">
        <v>19</v>
      </c>
      <c r="B39" s="15"/>
      <c r="C39" s="2"/>
      <c r="D39" s="2"/>
    </row>
    <row r="40" spans="1:4" ht="15.75" customHeight="1">
      <c r="A40" s="3" t="str">
        <f>IF(AND(B7&gt;0,D7&gt;0),CONCATENATE(B7-1,C7,D7-1," Approved Cost as a Percentage of Total Cost"),"Approved Cost as a Percentage of Total Cost")</f>
        <v>Approved Cost as a Percentage of Total Cost</v>
      </c>
      <c r="B40" s="16"/>
      <c r="C40" s="2"/>
      <c r="D40" s="2"/>
    </row>
    <row r="41" s="17" customFormat="1" ht="15"/>
    <row r="42" s="2" customFormat="1" ht="19.5" customHeight="1">
      <c r="A42" s="7" t="str">
        <f>IF(AND(B7&gt;0,D7&gt;0),CONCATENATE("Estimated Depreciation for School Year ",B7,C7,D7),"Estimated Depreciation")</f>
        <v>Estimated Depreciation</v>
      </c>
    </row>
    <row r="43" spans="1:4" ht="15.75" customHeight="1">
      <c r="A43" s="3" t="s">
        <v>38</v>
      </c>
      <c r="B43" s="15"/>
      <c r="C43" s="2"/>
      <c r="D43" s="2"/>
    </row>
  </sheetData>
  <sheetProtection password="DB01" sheet="1" objects="1" scenarios="1"/>
  <mergeCells count="3">
    <mergeCell ref="B10:D10"/>
    <mergeCell ref="B4:E4"/>
    <mergeCell ref="A1:D1"/>
  </mergeCells>
  <printOptions horizontalCentered="1"/>
  <pageMargins left="0.25" right="0.25" top="0.75" bottom="0.2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.7109375" style="25" customWidth="1"/>
    <col min="2" max="2" width="29.7109375" style="25" bestFit="1" customWidth="1"/>
    <col min="3" max="3" width="7.7109375" style="25" customWidth="1"/>
    <col min="4" max="4" width="14.421875" style="25" bestFit="1" customWidth="1"/>
    <col min="5" max="5" width="1.7109375" style="25" customWidth="1"/>
    <col min="6" max="6" width="26.7109375" style="25" bestFit="1" customWidth="1"/>
    <col min="7" max="7" width="11.7109375" style="25" bestFit="1" customWidth="1"/>
    <col min="8" max="8" width="10.57421875" style="25" bestFit="1" customWidth="1"/>
    <col min="9" max="9" width="10.00390625" style="25" bestFit="1" customWidth="1"/>
    <col min="10" max="11" width="10.8515625" style="25" bestFit="1" customWidth="1"/>
    <col min="12" max="12" width="1.7109375" style="25" customWidth="1"/>
    <col min="13" max="16384" width="9.140625" style="25" customWidth="1"/>
  </cols>
  <sheetData>
    <row r="1" spans="1:12" ht="15.75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 customHeight="1">
      <c r="A2" s="106" t="str">
        <f>CONCATENATE("Payable Year ",'Data Entry Sheet'!B8,'Data Entry Sheet'!C8,'Data Entry Sheet'!D8," for School Year ",'Data Entry Sheet'!B7,'Data Entry Sheet'!C7,'Data Entry Sheet'!D7)</f>
        <v>Payable Year - for School Year -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8" t="str">
        <f>CONCATENATE("Prepared by:  ",'Data Entry Sheet'!B4)</f>
        <v>Prepared by:  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7:8" ht="12">
      <c r="G5" s="26"/>
      <c r="H5" s="26"/>
    </row>
    <row r="6" spans="1:12" ht="19.5" customHeight="1">
      <c r="A6" s="27"/>
      <c r="B6" s="84" t="s">
        <v>0</v>
      </c>
      <c r="C6" s="84"/>
      <c r="D6" s="84"/>
      <c r="E6" s="28"/>
      <c r="F6" s="80" t="s">
        <v>26</v>
      </c>
      <c r="G6" s="84"/>
      <c r="H6" s="84"/>
      <c r="I6" s="84"/>
      <c r="J6" s="84"/>
      <c r="K6" s="84"/>
      <c r="L6" s="29"/>
    </row>
    <row r="7" spans="1:12" ht="13.5" customHeight="1">
      <c r="A7" s="30"/>
      <c r="E7" s="31"/>
      <c r="F7" s="88" t="s">
        <v>12</v>
      </c>
      <c r="G7" s="89"/>
      <c r="H7" s="89"/>
      <c r="I7" s="89"/>
      <c r="J7" s="89"/>
      <c r="K7" s="89"/>
      <c r="L7" s="32"/>
    </row>
    <row r="8" spans="1:12" ht="13.5" customHeight="1">
      <c r="A8" s="30"/>
      <c r="B8" s="23" t="str">
        <f>'Data Entry Sheet'!A10</f>
        <v> STEB Market Value</v>
      </c>
      <c r="C8" s="33"/>
      <c r="D8" s="34">
        <f>'Data Entry Sheet'!B10</f>
        <v>0</v>
      </c>
      <c r="E8" s="31"/>
      <c r="F8" s="35">
        <f>IF(D10&gt;0,IF(D10&gt;0.5,"State Share Distr Transp = ( Market Value Aid Ratio x Total Approved Cost )",CONCATENATE("Nonpublic  =","       ",CONCATENATE(TEXT(D16,"0,0")," ","/"," ",TEXT(D13,"0,0")," ","  =       ",ROUND(D16/D13,7)))),"")</f>
      </c>
      <c r="G8" s="36"/>
      <c r="H8" s="33"/>
      <c r="I8" s="37"/>
      <c r="J8" s="38"/>
      <c r="K8" s="38"/>
      <c r="L8" s="32"/>
    </row>
    <row r="9" spans="1:12" ht="13.5" customHeight="1">
      <c r="A9" s="30"/>
      <c r="B9" s="23" t="s">
        <v>2</v>
      </c>
      <c r="C9" s="33"/>
      <c r="D9" s="34">
        <f>ROUND('Data Entry Sheet'!B10*0.0005,2)</f>
        <v>0</v>
      </c>
      <c r="E9" s="39"/>
      <c r="F9" s="40">
        <f>IF(D10=0,"",IF(D10&lt;=0.5,CONCATENATE("     ( ",ROUND(D16/D13,7)," ","  x  ",DOLLAR(D33,0)," )   =   ",DOLLAR(ROUND(ROUND(D16/D13,7)*D33,0),0),"   x   0.5000"," ","   =   "),CONCATENATE("     ( ",D10,"  x  ",DOLLAR(D33,0)," )   = ")))</f>
      </c>
      <c r="G9" s="34"/>
      <c r="H9" s="33"/>
      <c r="I9" s="41"/>
      <c r="J9" s="34">
        <f>IF(D10=0,"",IF(D10&lt;=0.5,ROUND(ROUND(D16/D13,7)*D33*0.5,0),ROUND(D10*D33,0)))</f>
      </c>
      <c r="K9" s="38"/>
      <c r="L9" s="32"/>
    </row>
    <row r="10" spans="1:12" ht="13.5" customHeight="1">
      <c r="A10" s="30"/>
      <c r="B10" s="23" t="str">
        <f>'Data Entry Sheet'!A11</f>
        <v>- Market Value Aid Ratio</v>
      </c>
      <c r="C10" s="33"/>
      <c r="D10" s="42">
        <f>'Data Entry Sheet'!B11</f>
        <v>0</v>
      </c>
      <c r="E10" s="32"/>
      <c r="F10" s="43">
        <f>IF(D10&gt;0,IF(D10&gt;0.5," ",CONCATENATE("Hazardous =","       ",CONCATENATE(TEXT(D15,"0,0")," ","/"," ",TEXT(D13,"0,0")," ","  =       ",ROUND(D15/D13,7)))),"")</f>
      </c>
      <c r="G10" s="33"/>
      <c r="H10" s="33"/>
      <c r="I10" s="44"/>
      <c r="J10" s="33"/>
      <c r="K10" s="38"/>
      <c r="L10" s="32"/>
    </row>
    <row r="11" spans="1:12" ht="13.5" customHeight="1">
      <c r="A11" s="30"/>
      <c r="B11" s="23"/>
      <c r="C11" s="33"/>
      <c r="D11" s="33"/>
      <c r="E11" s="32"/>
      <c r="F11" s="40">
        <f>IF(D10&gt;0,IF(D10&lt;=0.5,CONCATENATE("     ( ",ROUND(D15/D13,7)," ","  x  ",DOLLAR(D33,0)," )   =   ",DOLLAR(ROUND(ROUND(D15/D13,7)*D33,0),0),"   x   0.5000"," ","  =  ")," "),"")</f>
      </c>
      <c r="G11" s="34"/>
      <c r="H11" s="33"/>
      <c r="I11" s="33"/>
      <c r="J11" s="34">
        <f>IF(D10=0,"",IF(D10&lt;=0.5,ROUND(ROUND(D15/D13,7)*D33*0.5,0),""))</f>
      </c>
      <c r="K11" s="38"/>
      <c r="L11" s="32"/>
    </row>
    <row r="12" spans="1:12" ht="13.5" customHeight="1">
      <c r="A12" s="30"/>
      <c r="B12" s="33"/>
      <c r="C12" s="33"/>
      <c r="D12" s="33"/>
      <c r="E12" s="45"/>
      <c r="F12" s="43">
        <f>IF(D10&gt;0,IF(D10&gt;0.5," ","Public Non Hazardous "),"")</f>
      </c>
      <c r="G12" s="33"/>
      <c r="H12" s="33"/>
      <c r="I12" s="33"/>
      <c r="J12" s="38"/>
      <c r="K12" s="38"/>
      <c r="L12" s="32"/>
    </row>
    <row r="13" spans="1:12" ht="13.5" customHeight="1">
      <c r="A13" s="30"/>
      <c r="B13" s="46" t="s">
        <v>5</v>
      </c>
      <c r="C13" s="33"/>
      <c r="D13" s="47">
        <f>'Data Entry Sheet'!B15+'Data Entry Sheet'!B17</f>
        <v>0</v>
      </c>
      <c r="E13" s="45"/>
      <c r="F13" s="93">
        <f>IF(D10&gt;0,IF(D10&lt;=0.5,CONCATENATE("     ( ",DOLLAR(D33,0)," "," - ",DOLLAR(ROUND(IF(D10&lt;=0.5,(ROUND(D16/D13,7)))*D33,0),0)," "," - ",DOLLAR(ROUND(IF(D10&lt;=0.5,ROUND(D15/D13,7)*D33),0),0)," )","   x  ",D10,"  =  "),""),"")</f>
      </c>
      <c r="G13" s="94"/>
      <c r="H13" s="94"/>
      <c r="I13" s="82">
        <f>IF(D10=0,"",IF(D10&lt;=0.5,ROUND((D33-ROUND(D16/D13,7)*D33-ROUND(D15/D13,7)*D33)*D10,0),""))</f>
      </c>
      <c r="J13" s="82"/>
      <c r="K13" s="33"/>
      <c r="L13" s="32"/>
    </row>
    <row r="14" spans="1:12" ht="13.5" customHeight="1">
      <c r="A14" s="30"/>
      <c r="B14" s="48" t="s">
        <v>7</v>
      </c>
      <c r="C14" s="33"/>
      <c r="D14" s="49">
        <f>D13-D15-D16</f>
        <v>0</v>
      </c>
      <c r="E14" s="45"/>
      <c r="F14" s="30"/>
      <c r="G14" s="33"/>
      <c r="H14" s="33"/>
      <c r="I14" s="33"/>
      <c r="J14" s="33"/>
      <c r="K14" s="33"/>
      <c r="L14" s="32"/>
    </row>
    <row r="15" spans="1:12" ht="13.5" customHeight="1">
      <c r="A15" s="30"/>
      <c r="B15" s="48" t="s">
        <v>8</v>
      </c>
      <c r="C15" s="33"/>
      <c r="D15" s="49">
        <f>'Data Entry Sheet'!B16</f>
        <v>0</v>
      </c>
      <c r="E15" s="45"/>
      <c r="F15" s="97" t="s">
        <v>31</v>
      </c>
      <c r="G15" s="98"/>
      <c r="H15" s="98"/>
      <c r="I15" s="33"/>
      <c r="J15" s="82">
        <f>IF(D10=0,"",IF(D10&lt;0.5,J9+J11+I13,J9))</f>
      </c>
      <c r="K15" s="83"/>
      <c r="L15" s="32"/>
    </row>
    <row r="16" spans="1:12" ht="13.5" customHeight="1">
      <c r="A16" s="30"/>
      <c r="B16" s="48" t="s">
        <v>9</v>
      </c>
      <c r="C16" s="33"/>
      <c r="D16" s="49">
        <f>'Data Entry Sheet'!B17</f>
        <v>0</v>
      </c>
      <c r="E16" s="45"/>
      <c r="F16" s="30"/>
      <c r="G16" s="33"/>
      <c r="H16" s="33"/>
      <c r="I16" s="33"/>
      <c r="J16" s="38"/>
      <c r="K16" s="38"/>
      <c r="L16" s="32"/>
    </row>
    <row r="17" spans="1:12" ht="13.5" customHeight="1">
      <c r="A17" s="30"/>
      <c r="B17" s="48"/>
      <c r="C17" s="33"/>
      <c r="D17" s="49"/>
      <c r="E17" s="45"/>
      <c r="F17" s="50" t="s">
        <v>41</v>
      </c>
      <c r="G17" s="33"/>
      <c r="H17" s="33"/>
      <c r="I17" s="33"/>
      <c r="J17" s="38"/>
      <c r="K17" s="38"/>
      <c r="L17" s="32"/>
    </row>
    <row r="18" spans="1:12" ht="13.5" customHeight="1">
      <c r="A18" s="30"/>
      <c r="B18" s="46" t="s">
        <v>6</v>
      </c>
      <c r="C18" s="33"/>
      <c r="D18" s="47"/>
      <c r="E18" s="45"/>
      <c r="F18" s="51" t="s">
        <v>36</v>
      </c>
      <c r="G18" s="33"/>
      <c r="H18" s="33"/>
      <c r="I18" s="82">
        <f>'Data Entry Sheet'!B35</f>
        <v>0</v>
      </c>
      <c r="J18" s="82"/>
      <c r="K18" s="38"/>
      <c r="L18" s="32"/>
    </row>
    <row r="19" spans="1:12" ht="13.5" customHeight="1">
      <c r="A19" s="30"/>
      <c r="B19" s="48" t="s">
        <v>10</v>
      </c>
      <c r="C19" s="33"/>
      <c r="D19" s="49">
        <f>'Data Entry Sheet'!B20</f>
        <v>0</v>
      </c>
      <c r="E19" s="45"/>
      <c r="F19" s="51" t="s">
        <v>16</v>
      </c>
      <c r="G19" s="33"/>
      <c r="H19" s="33"/>
      <c r="I19" s="82">
        <f>ROUND('Data Entry Sheet'!B35*'Data Entry Sheet'!B36,0)</f>
        <v>0</v>
      </c>
      <c r="J19" s="82"/>
      <c r="K19" s="38"/>
      <c r="L19" s="32"/>
    </row>
    <row r="20" spans="1:12" ht="13.5" customHeight="1">
      <c r="A20" s="30"/>
      <c r="B20" s="48" t="s">
        <v>11</v>
      </c>
      <c r="C20" s="52"/>
      <c r="D20" s="49">
        <f>'Data Entry Sheet'!B21</f>
        <v>0</v>
      </c>
      <c r="E20" s="45"/>
      <c r="F20" s="51" t="s">
        <v>17</v>
      </c>
      <c r="G20" s="33"/>
      <c r="H20" s="33"/>
      <c r="I20" s="82">
        <f>ROUND(I19*D10,0)</f>
        <v>0</v>
      </c>
      <c r="J20" s="82"/>
      <c r="K20" s="38"/>
      <c r="L20" s="32"/>
    </row>
    <row r="21" spans="1:12" s="54" customFormat="1" ht="12.75" customHeight="1">
      <c r="A21" s="53"/>
      <c r="E21" s="55"/>
      <c r="F21" s="51" t="s">
        <v>18</v>
      </c>
      <c r="G21" s="52"/>
      <c r="H21" s="52"/>
      <c r="I21" s="91">
        <f>I18-I20</f>
        <v>0</v>
      </c>
      <c r="J21" s="91"/>
      <c r="K21" s="56"/>
      <c r="L21" s="57"/>
    </row>
    <row r="22" spans="1:12" ht="13.5" customHeight="1">
      <c r="A22" s="58"/>
      <c r="B22" s="84" t="s">
        <v>29</v>
      </c>
      <c r="C22" s="84"/>
      <c r="D22" s="84"/>
      <c r="E22" s="85"/>
      <c r="F22" s="50" t="s">
        <v>42</v>
      </c>
      <c r="G22" s="33"/>
      <c r="H22" s="33"/>
      <c r="I22" s="33"/>
      <c r="J22" s="38"/>
      <c r="K22" s="38"/>
      <c r="L22" s="32"/>
    </row>
    <row r="23" spans="1:12" ht="13.5" customHeight="1">
      <c r="A23" s="58"/>
      <c r="B23" s="86"/>
      <c r="C23" s="86"/>
      <c r="D23" s="86"/>
      <c r="E23" s="87"/>
      <c r="F23" s="51" t="s">
        <v>13</v>
      </c>
      <c r="G23" s="33"/>
      <c r="H23" s="33"/>
      <c r="I23" s="82">
        <f>ROUND('Data Entry Sheet'!B39*'Data Entry Sheet'!B40,0)</f>
        <v>0</v>
      </c>
      <c r="J23" s="82"/>
      <c r="K23" s="38"/>
      <c r="L23" s="32"/>
    </row>
    <row r="24" spans="1:12" ht="13.5" customHeight="1">
      <c r="A24" s="30"/>
      <c r="B24" s="59" t="s">
        <v>32</v>
      </c>
      <c r="C24" s="33"/>
      <c r="D24" s="38"/>
      <c r="E24" s="31"/>
      <c r="F24" s="51" t="s">
        <v>17</v>
      </c>
      <c r="G24" s="33"/>
      <c r="H24" s="33"/>
      <c r="I24" s="33"/>
      <c r="J24" s="82">
        <f>ROUND(I23*D10,0)</f>
        <v>0</v>
      </c>
      <c r="K24" s="83"/>
      <c r="L24" s="32"/>
    </row>
    <row r="25" spans="1:12" ht="13.5" customHeight="1">
      <c r="A25" s="30"/>
      <c r="B25" s="41" t="s">
        <v>22</v>
      </c>
      <c r="C25" s="41"/>
      <c r="D25" s="34">
        <f>ROUND('Data Entry Sheet'!B25*'Data Entry Sheet'!B26,0)</f>
        <v>0</v>
      </c>
      <c r="E25" s="60"/>
      <c r="F25" s="50" t="s">
        <v>14</v>
      </c>
      <c r="G25" s="33"/>
      <c r="H25" s="33"/>
      <c r="I25" s="33"/>
      <c r="J25" s="33"/>
      <c r="K25" s="38"/>
      <c r="L25" s="32"/>
    </row>
    <row r="26" spans="1:12" ht="13.5" customHeight="1">
      <c r="A26" s="30"/>
      <c r="B26" s="33"/>
      <c r="C26" s="33"/>
      <c r="D26" s="38"/>
      <c r="E26" s="60"/>
      <c r="F26" s="95" t="s">
        <v>39</v>
      </c>
      <c r="G26" s="96"/>
      <c r="H26" s="33"/>
      <c r="I26" s="82">
        <f>D33+I19+I23</f>
        <v>0</v>
      </c>
      <c r="J26" s="90"/>
      <c r="K26" s="38"/>
      <c r="L26" s="32"/>
    </row>
    <row r="27" spans="1:12" ht="13.5" customHeight="1">
      <c r="A27" s="30"/>
      <c r="B27" s="59" t="s">
        <v>33</v>
      </c>
      <c r="C27" s="33"/>
      <c r="D27" s="38"/>
      <c r="E27" s="31"/>
      <c r="F27" s="95" t="s">
        <v>40</v>
      </c>
      <c r="G27" s="96"/>
      <c r="H27" s="33"/>
      <c r="I27" s="82">
        <f>IF(J15="",0,J15+I20+J24)</f>
        <v>0</v>
      </c>
      <c r="J27" s="90"/>
      <c r="K27" s="38"/>
      <c r="L27" s="32"/>
    </row>
    <row r="28" spans="1:12" ht="13.5" customHeight="1">
      <c r="A28" s="30"/>
      <c r="B28" s="41" t="s">
        <v>23</v>
      </c>
      <c r="C28" s="41"/>
      <c r="D28" s="34">
        <f>ROUND('Data Entry Sheet'!B28*'Data Entry Sheet'!B29,0)</f>
        <v>0</v>
      </c>
      <c r="E28" s="60"/>
      <c r="F28" s="95" t="s">
        <v>15</v>
      </c>
      <c r="G28" s="96"/>
      <c r="H28" s="33"/>
      <c r="I28" s="110">
        <f>IF(D9="",0,D9)</f>
        <v>0</v>
      </c>
      <c r="J28" s="110"/>
      <c r="K28" s="38"/>
      <c r="L28" s="32"/>
    </row>
    <row r="29" spans="1:12" ht="13.5" customHeight="1">
      <c r="A29" s="30"/>
      <c r="B29" s="33"/>
      <c r="C29" s="33"/>
      <c r="D29" s="38"/>
      <c r="E29" s="60"/>
      <c r="F29" s="51" t="s">
        <v>43</v>
      </c>
      <c r="G29" s="33"/>
      <c r="H29" s="33"/>
      <c r="I29" s="33"/>
      <c r="J29" s="82">
        <f>IF((I26-I27-I28)&gt;0,(I26-I27-I28),0)</f>
        <v>0</v>
      </c>
      <c r="K29" s="83"/>
      <c r="L29" s="32"/>
    </row>
    <row r="30" spans="1:12" ht="13.5" customHeight="1">
      <c r="A30" s="30"/>
      <c r="B30" s="59" t="s">
        <v>34</v>
      </c>
      <c r="C30" s="33"/>
      <c r="D30" s="38"/>
      <c r="E30" s="31"/>
      <c r="F30" s="43" t="s">
        <v>38</v>
      </c>
      <c r="G30" s="33"/>
      <c r="H30" s="33"/>
      <c r="I30" s="33"/>
      <c r="J30" s="82">
        <f>'Data Entry Sheet'!B43</f>
        <v>0</v>
      </c>
      <c r="K30" s="83"/>
      <c r="L30" s="32"/>
    </row>
    <row r="31" spans="1:12" ht="13.5" customHeight="1">
      <c r="A31" s="30"/>
      <c r="B31" s="41" t="s">
        <v>24</v>
      </c>
      <c r="C31" s="41"/>
      <c r="D31" s="61">
        <f>ROUND('Data Entry Sheet'!B31*'Data Entry Sheet'!B32,0)</f>
        <v>0</v>
      </c>
      <c r="E31" s="60"/>
      <c r="F31" s="99" t="s">
        <v>27</v>
      </c>
      <c r="G31" s="100"/>
      <c r="H31" s="33"/>
      <c r="I31" s="33"/>
      <c r="J31" s="103">
        <f>IF(J15="",0,J15+J24+J29+J30)</f>
        <v>0</v>
      </c>
      <c r="K31" s="104"/>
      <c r="L31" s="32"/>
    </row>
    <row r="32" spans="1:12" ht="13.5" customHeight="1">
      <c r="A32" s="30"/>
      <c r="B32" s="33"/>
      <c r="C32" s="33"/>
      <c r="D32" s="38"/>
      <c r="E32" s="62"/>
      <c r="F32" s="101"/>
      <c r="G32" s="102"/>
      <c r="H32" s="26"/>
      <c r="I32" s="26"/>
      <c r="J32" s="105"/>
      <c r="K32" s="105"/>
      <c r="L32" s="32"/>
    </row>
    <row r="33" spans="1:12" ht="19.5" customHeight="1">
      <c r="A33" s="30"/>
      <c r="B33" s="63" t="s">
        <v>35</v>
      </c>
      <c r="C33" s="63"/>
      <c r="D33" s="64">
        <f>D25+D28+D31</f>
        <v>0</v>
      </c>
      <c r="E33" s="65"/>
      <c r="F33" s="80" t="s">
        <v>30</v>
      </c>
      <c r="G33" s="81"/>
      <c r="H33" s="81"/>
      <c r="I33" s="81"/>
      <c r="J33" s="81"/>
      <c r="K33" s="81"/>
      <c r="L33" s="29"/>
    </row>
    <row r="34" spans="1:12" ht="13.5" customHeight="1">
      <c r="A34" s="30"/>
      <c r="B34" s="66"/>
      <c r="C34" s="66"/>
      <c r="D34" s="67"/>
      <c r="E34" s="60"/>
      <c r="F34" s="30"/>
      <c r="G34" s="33"/>
      <c r="H34" s="33"/>
      <c r="I34" s="33"/>
      <c r="J34" s="33"/>
      <c r="K34" s="33"/>
      <c r="L34" s="32"/>
    </row>
    <row r="35" spans="1:12" ht="13.5" customHeight="1">
      <c r="A35" s="30"/>
      <c r="B35" s="33"/>
      <c r="C35" s="33"/>
      <c r="D35" s="38"/>
      <c r="E35" s="60"/>
      <c r="F35" s="68" t="s">
        <v>25</v>
      </c>
      <c r="G35" s="92" t="str">
        <f>CONCATENATE("(",D16," ","x"," ","$385",")"," ","+"," ","(",D19," ","x"," ","$385",")"," ","+"," ","(",D20," ","x"," ","$385",")   = ",)</f>
        <v>(0 x $385) + (0 x $385) + (0 x $385)   = </v>
      </c>
      <c r="H35" s="92"/>
      <c r="I35" s="92"/>
      <c r="J35" s="92"/>
      <c r="K35" s="69">
        <f>(D16*385)+(D19*385)+(D20*385)</f>
        <v>0</v>
      </c>
      <c r="L35" s="32"/>
    </row>
    <row r="36" spans="1:12" ht="13.5" customHeight="1">
      <c r="A36" s="70"/>
      <c r="B36" s="26"/>
      <c r="C36" s="26"/>
      <c r="D36" s="71"/>
      <c r="E36" s="72"/>
      <c r="F36" s="70"/>
      <c r="G36" s="26"/>
      <c r="H36" s="26"/>
      <c r="I36" s="26"/>
      <c r="J36" s="26"/>
      <c r="K36" s="26"/>
      <c r="L36" s="73"/>
    </row>
  </sheetData>
  <sheetProtection password="DB01" sheet="1" objects="1" scenarios="1"/>
  <mergeCells count="30">
    <mergeCell ref="A2:L2"/>
    <mergeCell ref="A1:L1"/>
    <mergeCell ref="I27:J27"/>
    <mergeCell ref="J29:K29"/>
    <mergeCell ref="A3:L3"/>
    <mergeCell ref="A4:L4"/>
    <mergeCell ref="I28:J28"/>
    <mergeCell ref="I18:J18"/>
    <mergeCell ref="I19:J19"/>
    <mergeCell ref="I20:J20"/>
    <mergeCell ref="G35:J35"/>
    <mergeCell ref="F13:H13"/>
    <mergeCell ref="J24:K24"/>
    <mergeCell ref="J15:K15"/>
    <mergeCell ref="F28:G28"/>
    <mergeCell ref="F27:G27"/>
    <mergeCell ref="F26:G26"/>
    <mergeCell ref="F15:H15"/>
    <mergeCell ref="F31:G32"/>
    <mergeCell ref="J31:K32"/>
    <mergeCell ref="F33:K33"/>
    <mergeCell ref="J30:K30"/>
    <mergeCell ref="B22:E23"/>
    <mergeCell ref="F6:K6"/>
    <mergeCell ref="B6:D6"/>
    <mergeCell ref="F7:K7"/>
    <mergeCell ref="I13:J13"/>
    <mergeCell ref="I26:J26"/>
    <mergeCell ref="I21:J21"/>
    <mergeCell ref="I23:J23"/>
  </mergeCells>
  <printOptions horizontalCentered="1"/>
  <pageMargins left="0.15" right="0.15" top="0.4" bottom="0.25" header="0.2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Barbara Nelson</Manager>
  <Company>PA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PupilTransp SubsidyEstimationWorksheet</dc:title>
  <dc:subject/>
  <dc:creator>Division of Subsidy Data and Administration</dc:creator>
  <cp:keywords/>
  <dc:description/>
  <cp:lastModifiedBy>Heimbach, Bunne</cp:lastModifiedBy>
  <cp:lastPrinted>2008-09-19T13:03:12Z</cp:lastPrinted>
  <dcterms:created xsi:type="dcterms:W3CDTF">2008-04-18T13:08:43Z</dcterms:created>
  <dcterms:modified xsi:type="dcterms:W3CDTF">2015-02-25T14:45:06Z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-979086479</vt:i4>
  </property>
  <property fmtid="{D5CDD505-2E9C-101B-9397-08002B2CF9AE}" pid="3" name="_EmailSubject">
    <vt:lpwstr>Pupil Transportation Estimating</vt:lpwstr>
  </property>
  <property fmtid="{D5CDD505-2E9C-101B-9397-08002B2CF9AE}" pid="4" name="_AuthorEmail">
    <vt:lpwstr>bhanft@state.pa.us</vt:lpwstr>
  </property>
  <property fmtid="{D5CDD505-2E9C-101B-9397-08002B2CF9AE}" pid="5" name="_AuthorEmailDisplayName">
    <vt:lpwstr>Hanft, Benjamin</vt:lpwstr>
  </property>
  <property fmtid="{D5CDD505-2E9C-101B-9397-08002B2CF9AE}" pid="6" name="_ReviewingToolsShownOnce">
    <vt:lpwstr/>
  </property>
  <property fmtid="{D5CDD505-2E9C-101B-9397-08002B2CF9AE}" pid="7" name="MigrationSourceURL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Order">
    <vt:lpwstr>286500.000000000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SharedWithUsers">
    <vt:lpwstr/>
  </property>
  <property fmtid="{D5CDD505-2E9C-101B-9397-08002B2CF9AE}" pid="16" name="Category">
    <vt:lpwstr/>
  </property>
  <property fmtid="{D5CDD505-2E9C-101B-9397-08002B2CF9AE}" pid="17" name="_SourceUrl">
    <vt:lpwstr/>
  </property>
  <property fmtid="{D5CDD505-2E9C-101B-9397-08002B2CF9AE}" pid="18" name="_SharedFileIndex">
    <vt:lpwstr/>
  </property>
</Properties>
</file>