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0005" tabRatio="743" activeTab="0"/>
  </bookViews>
  <sheets>
    <sheet name="Key" sheetId="1" r:id="rId1"/>
    <sheet name="Contr Info" sheetId="2" r:id="rId2"/>
    <sheet name="Contr Calc" sheetId="3" r:id="rId3"/>
    <sheet name="LEA-Owned Info" sheetId="4" r:id="rId4"/>
    <sheet name="LEA-Owned Calc" sheetId="5" r:id="rId5"/>
    <sheet name="App Ann Exc Hrs" sheetId="6" r:id="rId6"/>
  </sheets>
  <definedNames>
    <definedName name="AnnCongHrs">'App Ann Exc Hrs'!$C$9</definedName>
    <definedName name="AppAnnExHrs">'App Ann Exc Hrs'!$D$27</definedName>
    <definedName name="C_Age">'Contr Info'!$C$11</definedName>
    <definedName name="C_AppAnnMiles">'Contr Calc'!$I$25</definedName>
    <definedName name="C_AppDailyMiles">'Contr Info'!$C$18</definedName>
    <definedName name="C_Capacity">'Contr Info'!$C$12</definedName>
    <definedName name="C_ChassisYear">'Contr Info'!$C$9</definedName>
    <definedName name="C_CostIndex">'Contr Info'!$C$24</definedName>
    <definedName name="C_DayFrac">'Contr Info'!$C$19</definedName>
    <definedName name="C_Days">'App Ann Exc Hrs'!$C$8</definedName>
    <definedName name="C_DriverName">'Contr Info'!$C$6</definedName>
    <definedName name="C_FinalFrac">'Contr Info'!$C$23</definedName>
    <definedName name="C_GrNumPupils">'Contr Info'!$C$13</definedName>
    <definedName name="C_Hours">'App Ann Exc Hrs'!$C$6</definedName>
    <definedName name="C_MileFrac">'Contr Info'!$C$22</definedName>
    <definedName name="C_MilesWith">'Contr Info'!$C$16</definedName>
    <definedName name="C_MilesWithout">'Contr Info'!$C$17</definedName>
    <definedName name="C_Minutes">'App Ann Exc Hrs'!$C$7</definedName>
    <definedName name="C_NumDays">'Contr Info'!$C$15</definedName>
    <definedName name="C_OneWay">'Contr Info'!$C$20</definedName>
    <definedName name="C_SY1">'Contr Info'!$C$10</definedName>
    <definedName name="C_SY2">'Contr Info'!$E$10</definedName>
    <definedName name="C_TotalAllow">'Contr Calc'!$O$39</definedName>
    <definedName name="C_TripFrac">'Contr Info'!$C$21</definedName>
    <definedName name="C_VehicleCode">'Contr Info'!$C$7</definedName>
    <definedName name="C_VIN">'Contr Info'!$C$8</definedName>
    <definedName name="CongMinDay">'App Ann Exc Hrs'!$C$5</definedName>
    <definedName name="ContractorName" localSheetId="3">'LEA-Owned Info'!#REF!</definedName>
    <definedName name="ContractorName">'Contr Info'!$C$5</definedName>
    <definedName name="DailyMilesWith">'App Ann Exc Hrs'!$C$10</definedName>
    <definedName name="DailyMilesWithout">'App Ann Exc Hrs'!$C$11</definedName>
    <definedName name="Hours">'App Ann Exc Hrs'!$C$6</definedName>
    <definedName name="L_Age">'LEA-Owned Info'!$C$10</definedName>
    <definedName name="L_AppAnnMiles">'LEA-Owned Calc'!$I$23</definedName>
    <definedName name="L_AppDailyMiles">'LEA-Owned Info'!$C$17</definedName>
    <definedName name="L_Capacity">'LEA-Owned Info'!$C$11</definedName>
    <definedName name="L_ChassisYear">'LEA-Owned Info'!$C$8</definedName>
    <definedName name="L_CostIndex">'LEA-Owned Info'!$C$23</definedName>
    <definedName name="L_DayFrac">'LEA-Owned Info'!$C$18</definedName>
    <definedName name="L_Days">'App Ann Exc Hrs'!$C$24</definedName>
    <definedName name="L_DriverName">'LEA-Owned Info'!$C$5</definedName>
    <definedName name="L_FinalFrac">'LEA-Owned Info'!$C$22</definedName>
    <definedName name="L_GrNumPupils">'LEA-Owned Info'!$C$12</definedName>
    <definedName name="L_Hours">'App Ann Exc Hrs'!$C$22</definedName>
    <definedName name="L_MileFrac">'LEA-Owned Info'!$C$21</definedName>
    <definedName name="L_MilesWith">'LEA-Owned Info'!$C$15</definedName>
    <definedName name="L_MilesWithout">'LEA-Owned Info'!$C$16</definedName>
    <definedName name="L_Minutes">'App Ann Exc Hrs'!$C$23</definedName>
    <definedName name="L_NumDays">'LEA-Owned Info'!$C$14</definedName>
    <definedName name="L_OneWay">'LEA-Owned Info'!$C$19</definedName>
    <definedName name="L_SY1">'LEA-Owned Info'!$C$9</definedName>
    <definedName name="L_SY2">'LEA-Owned Info'!$E$9</definedName>
    <definedName name="L_TotalAllow">'LEA-Owned Calc'!$O$37</definedName>
    <definedName name="L_TripFrac">'LEA-Owned Info'!$C$20</definedName>
    <definedName name="L_VehicleCode">'LEA-Owned Info'!$C$6</definedName>
    <definedName name="L_VIN">'LEA-Owned Info'!$C$7</definedName>
    <definedName name="LayMinDay">'App Ann Exc Hrs'!$C$21</definedName>
    <definedName name="MaxAnnDrHrs">'App Ann Exc Hrs'!$C$14</definedName>
    <definedName name="Minutes">'App Ann Exc Hrs'!$C$7</definedName>
    <definedName name="ReimbCongHrs">'App Ann Exc Hrs'!$D$15</definedName>
    <definedName name="ReimbLayHrs">'App Ann Exc Hrs'!$D$25</definedName>
    <definedName name="TotalAnnMiles">'App Ann Exc Hrs'!$C$13</definedName>
    <definedName name="TotalDailyMiles">'App Ann Exc Hrs'!$C$12</definedName>
  </definedNames>
  <calcPr fullCalcOnLoad="1"/>
</workbook>
</file>

<file path=xl/sharedStrings.xml><?xml version="1.0" encoding="utf-8"?>
<sst xmlns="http://schemas.openxmlformats.org/spreadsheetml/2006/main" count="194" uniqueCount="101">
  <si>
    <t>Contractor's Name</t>
  </si>
  <si>
    <t>Driver's Name</t>
  </si>
  <si>
    <t>Year of Manufacture of Chassis</t>
  </si>
  <si>
    <t>Age of Bus</t>
  </si>
  <si>
    <t>School Year</t>
  </si>
  <si>
    <t>2. Mileage Allowance</t>
  </si>
  <si>
    <t>3. Utilized Passenger Capacity Miles (UPCM) Allowance</t>
  </si>
  <si>
    <t>4. Layover or Congested Hours Allowance</t>
  </si>
  <si>
    <t>a. Basic Allowance</t>
  </si>
  <si>
    <t>b. Additional Allowance</t>
  </si>
  <si>
    <t>Rate</t>
  </si>
  <si>
    <t>Pupil Seating Capacity</t>
  </si>
  <si>
    <t>1-3 Years</t>
  </si>
  <si>
    <t>4-6 Years</t>
  </si>
  <si>
    <t>7-10 Years</t>
  </si>
  <si>
    <t>11+ Years</t>
  </si>
  <si>
    <t>x</t>
  </si>
  <si>
    <t>-</t>
  </si>
  <si>
    <t>11 or more Pupil Seating Capacity =</t>
  </si>
  <si>
    <t>10 or less Pupil Seating Capacity =</t>
  </si>
  <si>
    <t>$540</t>
  </si>
  <si>
    <t>$360</t>
  </si>
  <si>
    <t>(1)</t>
  </si>
  <si>
    <t>Approved Daily Miles</t>
  </si>
  <si>
    <t>Number of Days</t>
  </si>
  <si>
    <t>Approved Annual Miles</t>
  </si>
  <si>
    <t>=</t>
  </si>
  <si>
    <t>(2)</t>
  </si>
  <si>
    <t>Greatest # Pupils Assigned</t>
  </si>
  <si>
    <t>to Ride at Any One Time</t>
  </si>
  <si>
    <t>(3)</t>
  </si>
  <si>
    <t>(4)</t>
  </si>
  <si>
    <t>UPCMs</t>
  </si>
  <si>
    <t>1-10 Years</t>
  </si>
  <si>
    <t>Approved Annual Excess Hours Calculation</t>
  </si>
  <si>
    <t>Congested Minutes per Day</t>
  </si>
  <si>
    <t>Annual Congested Hours</t>
  </si>
  <si>
    <t>Daily Miles With</t>
  </si>
  <si>
    <t>Daily Miles Without</t>
  </si>
  <si>
    <t>Total Daily Miles</t>
  </si>
  <si>
    <t>Total Annual Miles</t>
  </si>
  <si>
    <t>Maximum Annual Driver Hours</t>
  </si>
  <si>
    <t>Reimbursable Congested Hours</t>
  </si>
  <si>
    <t>Reported Layover Minutes per Day</t>
  </si>
  <si>
    <t>Reimbursable Layover Hours</t>
  </si>
  <si>
    <t>1</t>
  </si>
  <si>
    <t>a  Layover Hours</t>
  </si>
  <si>
    <t>b  Layover Minutes</t>
  </si>
  <si>
    <t xml:space="preserve">  Formula to Determine Congested Hours</t>
  </si>
  <si>
    <t xml:space="preserve">  Formula to Determine Layover Hours</t>
  </si>
  <si>
    <t xml:space="preserve">  Approved Annual Excess Hours</t>
  </si>
  <si>
    <t xml:space="preserve">  Formula to Determine Individual Vehicle Allowance</t>
  </si>
  <si>
    <t>(1)+(2)+(3)+(4)</t>
  </si>
  <si>
    <t>(a)</t>
  </si>
  <si>
    <t>(b)</t>
  </si>
  <si>
    <t>$3.50 / 1000</t>
  </si>
  <si>
    <t>Approved Annual Excess Hours</t>
  </si>
  <si>
    <t>Total Allowance</t>
  </si>
  <si>
    <t>Total of Allowances</t>
  </si>
  <si>
    <t>x Cost Index</t>
  </si>
  <si>
    <t>Total Formula Allowance</t>
  </si>
  <si>
    <t>1. Contracted Vehicle Allowance</t>
  </si>
  <si>
    <t>1. LEA-Owned or Contract with an LEA Vehicle Allowance</t>
  </si>
  <si>
    <t xml:space="preserve">   $3.00  /  1000</t>
  </si>
  <si>
    <t>Miles With</t>
  </si>
  <si>
    <t>Miles Without</t>
  </si>
  <si>
    <t>Day Fraction</t>
  </si>
  <si>
    <t>Allowance</t>
  </si>
  <si>
    <t>Greatest Number of Pupils Assigned to Ride at Any One Time</t>
  </si>
  <si>
    <t>Prepared by the Division of Subsidy Data and Administration</t>
  </si>
  <si>
    <t>Contracted Calculation</t>
  </si>
  <si>
    <t>LEA-Owned Calculation</t>
  </si>
  <si>
    <t>Name</t>
  </si>
  <si>
    <t>Function</t>
  </si>
  <si>
    <t>*</t>
  </si>
  <si>
    <t>LEA-Owned Info</t>
  </si>
  <si>
    <t>LEA-Owned Calc</t>
  </si>
  <si>
    <t>App Ann Exc Hrs</t>
  </si>
  <si>
    <t>Contr Info</t>
  </si>
  <si>
    <t>Contr Calc</t>
  </si>
  <si>
    <t>("Contr Calc" and "LEA-Owned Calc" sheets automatically calculate.)</t>
  </si>
  <si>
    <t xml:space="preserve"> Data is entered on these sheets only in green-shaded cells.</t>
  </si>
  <si>
    <t>Worksheet Reference Key</t>
  </si>
  <si>
    <t>Days in Session</t>
  </si>
  <si>
    <t>Contracted Service Data Entry</t>
  </si>
  <si>
    <t>LEA-Owned Service Data Entry</t>
  </si>
  <si>
    <t>Approved Annual Excess Hours Data Entry and Calculation</t>
  </si>
  <si>
    <t>Contracted Service - Data Entry</t>
  </si>
  <si>
    <t>Vehicle ID Code</t>
  </si>
  <si>
    <t>Pupil Seating Capacity  (prior to any modifications)</t>
  </si>
  <si>
    <t>Manufacturer's Serial Number  (VIN)</t>
  </si>
  <si>
    <t>Final Fraction</t>
  </si>
  <si>
    <t>Number of Days Vehicle Used</t>
  </si>
  <si>
    <r>
      <t xml:space="preserve">Miles </t>
    </r>
    <r>
      <rPr>
        <sz val="10"/>
        <rFont val="Arial"/>
        <family val="2"/>
      </rPr>
      <t>&lt;</t>
    </r>
    <r>
      <rPr>
        <sz val="9"/>
        <rFont val="Arial"/>
        <family val="2"/>
      </rPr>
      <t>20 Fraction</t>
    </r>
  </si>
  <si>
    <t>LEA-Owned Service - Data Entry</t>
  </si>
  <si>
    <t>One-way Trip Fraction</t>
  </si>
  <si>
    <t>One-way Trip  (Y/N)</t>
  </si>
  <si>
    <t>PDE Vehicle Formula Allowance Worksheet (C)</t>
  </si>
  <si>
    <t>a.   Congested Hours</t>
  </si>
  <si>
    <t>b.   Congested Minutes</t>
  </si>
  <si>
    <t>PDE Vehicle Formula Allowance Worksheet (L)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</si>
</sst>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#,##0.000000"/>
    <numFmt numFmtId="168" formatCode="&quot;$&quot;#,##0.000000"/>
    <numFmt numFmtId="169" formatCode="#,##0.000"/>
    <numFmt numFmtId="170" formatCode="0.000"/>
    <numFmt numFmtId="171" formatCode="#,##0.00000000"/>
    <numFmt numFmtId="172" formatCode="0.000000"/>
    <numFmt numFmtId="173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6"/>
      <name val="Arial"/>
      <family val="2"/>
    </font>
    <font>
      <u val="single"/>
      <sz val="9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8"/>
      <color indexed="23"/>
      <name val="Arial"/>
      <family val="2"/>
    </font>
    <font>
      <b/>
      <i/>
      <u val="single"/>
      <sz val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1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170" fontId="2" fillId="0" borderId="11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3" fontId="1" fillId="33" borderId="11" xfId="0" applyNumberFormat="1" applyFont="1" applyFill="1" applyBorder="1" applyAlignment="1" applyProtection="1">
      <alignment horizontal="center"/>
      <protection locked="0"/>
    </xf>
    <xf numFmtId="166" fontId="1" fillId="33" borderId="11" xfId="0" applyNumberFormat="1" applyFont="1" applyFill="1" applyBorder="1" applyAlignment="1" applyProtection="1">
      <alignment horizontal="center"/>
      <protection locked="0"/>
    </xf>
    <xf numFmtId="169" fontId="1" fillId="33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 horizontal="center"/>
      <protection/>
    </xf>
    <xf numFmtId="167" fontId="1" fillId="0" borderId="11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49" fontId="1" fillId="34" borderId="0" xfId="0" applyNumberFormat="1" applyFont="1" applyFill="1" applyAlignment="1" applyProtection="1">
      <alignment horizontal="center"/>
      <protection/>
    </xf>
    <xf numFmtId="49" fontId="1" fillId="34" borderId="0" xfId="0" applyNumberFormat="1" applyFont="1" applyFill="1" applyAlignment="1" applyProtection="1">
      <alignment horizontal="right"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" fillId="33" borderId="11" xfId="0" applyNumberFormat="1" applyFont="1" applyFill="1" applyBorder="1" applyAlignment="1" applyProtection="1">
      <alignment/>
      <protection locked="0"/>
    </xf>
    <xf numFmtId="166" fontId="1" fillId="33" borderId="11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 vertical="top"/>
    </xf>
    <xf numFmtId="49" fontId="0" fillId="34" borderId="0" xfId="0" applyNumberFormat="1" applyFill="1" applyAlignment="1">
      <alignment/>
    </xf>
    <xf numFmtId="14" fontId="14" fillId="0" borderId="0" xfId="0" applyNumberFormat="1" applyFont="1" applyAlignment="1" applyProtection="1">
      <alignment horizontal="right"/>
      <protection/>
    </xf>
    <xf numFmtId="171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/>
    </xf>
    <xf numFmtId="171" fontId="1" fillId="0" borderId="10" xfId="0" applyNumberFormat="1" applyFont="1" applyFill="1" applyBorder="1" applyAlignment="1" applyProtection="1">
      <alignment/>
      <protection/>
    </xf>
    <xf numFmtId="173" fontId="1" fillId="0" borderId="11" xfId="0" applyNumberFormat="1" applyFont="1" applyFill="1" applyBorder="1" applyAlignment="1" applyProtection="1">
      <alignment horizontal="center"/>
      <protection/>
    </xf>
    <xf numFmtId="49" fontId="1" fillId="33" borderId="11" xfId="0" applyNumberFormat="1" applyFont="1" applyFill="1" applyBorder="1" applyAlignment="1" applyProtection="1">
      <alignment horizontal="left"/>
      <protection locked="0"/>
    </xf>
    <xf numFmtId="167" fontId="1" fillId="0" borderId="0" xfId="0" applyNumberFormat="1" applyFont="1" applyFill="1" applyBorder="1" applyAlignment="1" applyProtection="1">
      <alignment horizontal="left"/>
      <protection/>
    </xf>
    <xf numFmtId="169" fontId="1" fillId="33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34" borderId="0" xfId="0" applyFont="1" applyFill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/>
      <protection/>
    </xf>
    <xf numFmtId="166" fontId="1" fillId="33" borderId="16" xfId="0" applyNumberFormat="1" applyFont="1" applyFill="1" applyBorder="1" applyAlignment="1" applyProtection="1">
      <alignment/>
      <protection locked="0"/>
    </xf>
    <xf numFmtId="166" fontId="1" fillId="34" borderId="11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66" fontId="11" fillId="0" borderId="1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49" fontId="1" fillId="33" borderId="18" xfId="0" applyNumberFormat="1" applyFont="1" applyFill="1" applyBorder="1" applyAlignment="1" applyProtection="1">
      <alignment horizontal="left"/>
      <protection locked="0"/>
    </xf>
    <xf numFmtId="49" fontId="1" fillId="33" borderId="14" xfId="0" applyNumberFormat="1" applyFont="1" applyFill="1" applyBorder="1" applyAlignment="1" applyProtection="1">
      <alignment horizontal="left"/>
      <protection locked="0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3" fontId="1" fillId="0" borderId="18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166" fontId="1" fillId="0" borderId="18" xfId="0" applyNumberFormat="1" applyFont="1" applyBorder="1" applyAlignment="1" applyProtection="1">
      <alignment horizontal="center"/>
      <protection/>
    </xf>
    <xf numFmtId="166" fontId="1" fillId="0" borderId="14" xfId="0" applyNumberFormat="1" applyFont="1" applyBorder="1" applyAlignment="1" applyProtection="1">
      <alignment horizontal="center"/>
      <protection/>
    </xf>
    <xf numFmtId="166" fontId="1" fillId="0" borderId="19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1" fillId="0" borderId="18" xfId="0" applyNumberFormat="1" applyFont="1" applyFill="1" applyBorder="1" applyAlignment="1" applyProtection="1">
      <alignment horizontal="center"/>
      <protection/>
    </xf>
    <xf numFmtId="166" fontId="1" fillId="0" borderId="19" xfId="0" applyNumberFormat="1" applyFont="1" applyFill="1" applyBorder="1" applyAlignment="1" applyProtection="1">
      <alignment horizontal="center"/>
      <protection/>
    </xf>
    <xf numFmtId="164" fontId="2" fillId="0" borderId="20" xfId="0" applyNumberFormat="1" applyFont="1" applyFill="1" applyBorder="1" applyAlignment="1" applyProtection="1">
      <alignment vertical="center"/>
      <protection/>
    </xf>
    <xf numFmtId="164" fontId="2" fillId="0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4" fontId="1" fillId="0" borderId="18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4" fontId="1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49" fontId="1" fillId="33" borderId="18" xfId="0" applyNumberFormat="1" applyFont="1" applyFill="1" applyBorder="1" applyAlignment="1" applyProtection="1">
      <alignment/>
      <protection locked="0"/>
    </xf>
    <xf numFmtId="49" fontId="1" fillId="33" borderId="14" xfId="0" applyNumberFormat="1" applyFont="1" applyFill="1" applyBorder="1" applyAlignment="1" applyProtection="1">
      <alignment/>
      <protection locked="0"/>
    </xf>
    <xf numFmtId="49" fontId="1" fillId="33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.140625" style="67" bestFit="1" customWidth="1"/>
    <col min="2" max="2" width="18.7109375" style="67" customWidth="1"/>
    <col min="3" max="16384" width="9.140625" style="67" customWidth="1"/>
  </cols>
  <sheetData>
    <row r="1" spans="1:4" ht="15.75">
      <c r="A1" s="93" t="s">
        <v>82</v>
      </c>
      <c r="B1" s="93"/>
      <c r="C1" s="93"/>
      <c r="D1" s="93"/>
    </row>
    <row r="4" spans="2:3" ht="15" customHeight="1">
      <c r="B4" s="69" t="s">
        <v>72</v>
      </c>
      <c r="C4" s="69" t="s">
        <v>73</v>
      </c>
    </row>
    <row r="5" spans="1:3" ht="18" customHeight="1">
      <c r="A5" s="70" t="s">
        <v>74</v>
      </c>
      <c r="B5" s="68" t="s">
        <v>78</v>
      </c>
      <c r="C5" s="68" t="s">
        <v>84</v>
      </c>
    </row>
    <row r="6" spans="2:3" ht="18" customHeight="1">
      <c r="B6" s="68" t="s">
        <v>79</v>
      </c>
      <c r="C6" s="68" t="s">
        <v>70</v>
      </c>
    </row>
    <row r="7" spans="1:3" ht="18" customHeight="1">
      <c r="A7" s="70" t="s">
        <v>74</v>
      </c>
      <c r="B7" s="68" t="s">
        <v>75</v>
      </c>
      <c r="C7" s="68" t="s">
        <v>85</v>
      </c>
    </row>
    <row r="8" spans="2:3" ht="18" customHeight="1">
      <c r="B8" s="68" t="s">
        <v>76</v>
      </c>
      <c r="C8" s="68" t="s">
        <v>71</v>
      </c>
    </row>
    <row r="9" spans="1:3" ht="18" customHeight="1">
      <c r="A9" s="70" t="s">
        <v>74</v>
      </c>
      <c r="B9" s="68" t="s">
        <v>77</v>
      </c>
      <c r="C9" s="68" t="s">
        <v>86</v>
      </c>
    </row>
    <row r="13" spans="1:2" ht="12.75">
      <c r="A13" s="91" t="s">
        <v>74</v>
      </c>
      <c r="B13" s="68" t="s">
        <v>81</v>
      </c>
    </row>
    <row r="14" spans="1:2" ht="12.75">
      <c r="A14" s="92"/>
      <c r="B14" s="71" t="s">
        <v>80</v>
      </c>
    </row>
  </sheetData>
  <sheetProtection password="DB01" sheet="1" objects="1" scenarios="1"/>
  <mergeCells count="2">
    <mergeCell ref="A13:A14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7" customWidth="1"/>
    <col min="2" max="2" width="50.140625" style="5" bestFit="1" customWidth="1"/>
    <col min="3" max="3" width="10.7109375" style="5" customWidth="1"/>
    <col min="4" max="4" width="1.57421875" style="5" bestFit="1" customWidth="1"/>
    <col min="5" max="5" width="10.7109375" style="5" customWidth="1"/>
    <col min="6" max="10" width="4.7109375" style="5" customWidth="1"/>
    <col min="11" max="16384" width="9.140625" style="5" customWidth="1"/>
  </cols>
  <sheetData>
    <row r="1" spans="1:5" ht="15.75">
      <c r="A1" s="94" t="s">
        <v>87</v>
      </c>
      <c r="B1" s="94"/>
      <c r="C1" s="14"/>
      <c r="D1" s="14"/>
      <c r="E1" s="14"/>
    </row>
    <row r="2" spans="1:5" ht="12.75">
      <c r="A2" s="46"/>
      <c r="B2" s="46"/>
      <c r="C2" s="14"/>
      <c r="D2" s="14"/>
      <c r="E2" s="14"/>
    </row>
    <row r="3" spans="1:2" ht="15" customHeight="1">
      <c r="A3" s="95" t="s">
        <v>51</v>
      </c>
      <c r="B3" s="95"/>
    </row>
    <row r="4" ht="12">
      <c r="A4" s="5"/>
    </row>
    <row r="5" spans="1:10" ht="16.5" customHeight="1">
      <c r="A5" s="7">
        <v>1</v>
      </c>
      <c r="B5" s="5" t="s">
        <v>0</v>
      </c>
      <c r="C5" s="99"/>
      <c r="D5" s="100"/>
      <c r="E5" s="100"/>
      <c r="F5" s="100"/>
      <c r="G5" s="100"/>
      <c r="H5" s="100"/>
      <c r="I5" s="100"/>
      <c r="J5" s="101"/>
    </row>
    <row r="6" spans="1:10" ht="16.5" customHeight="1">
      <c r="A6" s="7">
        <v>2</v>
      </c>
      <c r="B6" s="5" t="s">
        <v>1</v>
      </c>
      <c r="C6" s="99"/>
      <c r="D6" s="100"/>
      <c r="E6" s="100"/>
      <c r="F6" s="100"/>
      <c r="G6" s="100"/>
      <c r="H6" s="100"/>
      <c r="I6" s="100"/>
      <c r="J6" s="101"/>
    </row>
    <row r="7" spans="1:10" ht="16.5" customHeight="1">
      <c r="A7" s="7">
        <v>3</v>
      </c>
      <c r="B7" s="5" t="s">
        <v>88</v>
      </c>
      <c r="C7" s="79"/>
      <c r="D7" s="47"/>
      <c r="E7" s="47"/>
      <c r="F7" s="47"/>
      <c r="G7" s="47"/>
      <c r="H7" s="47"/>
      <c r="I7" s="14"/>
      <c r="J7" s="14"/>
    </row>
    <row r="8" spans="1:10" ht="16.5" customHeight="1">
      <c r="A8" s="7">
        <v>4</v>
      </c>
      <c r="B8" s="5" t="s">
        <v>90</v>
      </c>
      <c r="C8" s="99"/>
      <c r="D8" s="100"/>
      <c r="E8" s="100"/>
      <c r="F8" s="100"/>
      <c r="G8" s="100"/>
      <c r="H8" s="101"/>
      <c r="I8" s="14"/>
      <c r="J8" s="14"/>
    </row>
    <row r="9" spans="1:10" ht="16.5" customHeight="1">
      <c r="A9" s="7">
        <v>5</v>
      </c>
      <c r="B9" s="5" t="s">
        <v>2</v>
      </c>
      <c r="C9" s="40"/>
      <c r="D9" s="48"/>
      <c r="E9" s="47"/>
      <c r="F9" s="14"/>
      <c r="G9" s="14"/>
      <c r="H9" s="14"/>
      <c r="I9" s="14"/>
      <c r="J9" s="14"/>
    </row>
    <row r="10" spans="1:14" ht="16.5" customHeight="1">
      <c r="A10" s="7">
        <v>6</v>
      </c>
      <c r="B10" s="5" t="s">
        <v>4</v>
      </c>
      <c r="C10" s="41"/>
      <c r="D10" s="49" t="s">
        <v>17</v>
      </c>
      <c r="E10" s="41"/>
      <c r="F10" s="14"/>
      <c r="G10" s="76"/>
      <c r="H10" s="74"/>
      <c r="I10" s="74"/>
      <c r="J10" s="74"/>
      <c r="K10" s="74"/>
      <c r="L10" s="74"/>
      <c r="M10" s="74"/>
      <c r="N10" s="74"/>
    </row>
    <row r="11" spans="1:14" ht="16.5" customHeight="1">
      <c r="A11" s="7">
        <v>7</v>
      </c>
      <c r="B11" s="5" t="s">
        <v>3</v>
      </c>
      <c r="C11" s="50">
        <f>IF(C_ChassisYear="","",C_SY2-C_ChassisYear)</f>
      </c>
      <c r="D11" s="51"/>
      <c r="E11" s="14"/>
      <c r="F11" s="14"/>
      <c r="G11" s="74"/>
      <c r="H11" s="74"/>
      <c r="I11" s="74"/>
      <c r="J11" s="74"/>
      <c r="K11" s="74"/>
      <c r="L11" s="74"/>
      <c r="M11" s="74"/>
      <c r="N11" s="74"/>
    </row>
    <row r="12" spans="1:14" ht="16.5" customHeight="1">
      <c r="A12" s="7">
        <v>8</v>
      </c>
      <c r="B12" s="5" t="s">
        <v>89</v>
      </c>
      <c r="C12" s="42"/>
      <c r="D12" s="52"/>
      <c r="E12" s="14"/>
      <c r="F12" s="14"/>
      <c r="G12" s="74"/>
      <c r="H12" s="74"/>
      <c r="I12" s="74"/>
      <c r="J12" s="74"/>
      <c r="K12" s="74"/>
      <c r="L12" s="74"/>
      <c r="M12" s="74"/>
      <c r="N12" s="74"/>
    </row>
    <row r="13" spans="1:14" ht="16.5" customHeight="1">
      <c r="A13" s="7">
        <v>9</v>
      </c>
      <c r="B13" s="5" t="s">
        <v>68</v>
      </c>
      <c r="C13" s="42"/>
      <c r="D13" s="52"/>
      <c r="E13" s="53"/>
      <c r="F13" s="14"/>
      <c r="G13" s="74"/>
      <c r="H13" s="74"/>
      <c r="I13" s="74"/>
      <c r="J13" s="74"/>
      <c r="K13" s="74"/>
      <c r="L13" s="74"/>
      <c r="M13" s="74"/>
      <c r="N13" s="74"/>
    </row>
    <row r="14" spans="1:14" ht="16.5" customHeight="1">
      <c r="A14" s="7">
        <v>10</v>
      </c>
      <c r="B14" s="5" t="s">
        <v>83</v>
      </c>
      <c r="C14" s="43"/>
      <c r="D14" s="52"/>
      <c r="E14" s="53"/>
      <c r="F14" s="14"/>
      <c r="G14" s="76"/>
      <c r="H14" s="74"/>
      <c r="I14" s="74"/>
      <c r="J14" s="74"/>
      <c r="K14" s="74"/>
      <c r="L14" s="74"/>
      <c r="M14" s="74"/>
      <c r="N14" s="74"/>
    </row>
    <row r="15" spans="1:14" ht="16.5" customHeight="1">
      <c r="A15" s="7">
        <v>11</v>
      </c>
      <c r="B15" s="5" t="s">
        <v>92</v>
      </c>
      <c r="C15" s="43"/>
      <c r="D15" s="52"/>
      <c r="E15" s="53"/>
      <c r="F15" s="14"/>
      <c r="G15" s="74"/>
      <c r="H15" s="74"/>
      <c r="I15" s="74"/>
      <c r="J15" s="74"/>
      <c r="K15" s="74"/>
      <c r="L15" s="74"/>
      <c r="M15" s="74"/>
      <c r="N15" s="74"/>
    </row>
    <row r="16" spans="1:14" ht="16.5" customHeight="1">
      <c r="A16" s="7">
        <v>12</v>
      </c>
      <c r="B16" s="5" t="s">
        <v>64</v>
      </c>
      <c r="C16" s="44"/>
      <c r="D16" s="52"/>
      <c r="E16" s="14"/>
      <c r="F16" s="14"/>
      <c r="G16" s="74"/>
      <c r="H16" s="74"/>
      <c r="I16" s="74"/>
      <c r="J16" s="74"/>
      <c r="K16" s="74"/>
      <c r="L16" s="74"/>
      <c r="M16" s="74"/>
      <c r="N16" s="74"/>
    </row>
    <row r="17" spans="1:14" ht="16.5" customHeight="1">
      <c r="A17" s="7">
        <v>13</v>
      </c>
      <c r="B17" s="5" t="s">
        <v>65</v>
      </c>
      <c r="C17" s="44"/>
      <c r="D17" s="52"/>
      <c r="E17" s="14"/>
      <c r="F17" s="14"/>
      <c r="G17" s="74"/>
      <c r="H17" s="74"/>
      <c r="I17" s="74"/>
      <c r="J17" s="74"/>
      <c r="K17" s="74"/>
      <c r="L17" s="74"/>
      <c r="M17" s="74"/>
      <c r="N17" s="74"/>
    </row>
    <row r="18" spans="1:14" ht="16.5" customHeight="1">
      <c r="A18" s="7">
        <v>14</v>
      </c>
      <c r="B18" s="5" t="s">
        <v>23</v>
      </c>
      <c r="C18" s="54">
        <f>IF(C_MilesWithout&lt;=C_MilesWith,C_MilesWith+C_MilesWithout,ROUND(C_MilesWith*2,1))</f>
        <v>0</v>
      </c>
      <c r="D18" s="52"/>
      <c r="E18" s="14"/>
      <c r="F18" s="14"/>
      <c r="G18" s="74"/>
      <c r="H18" s="74"/>
      <c r="I18" s="74"/>
      <c r="J18" s="74"/>
      <c r="K18" s="74"/>
      <c r="L18" s="74"/>
      <c r="M18" s="74"/>
      <c r="N18" s="74"/>
    </row>
    <row r="19" spans="1:14" ht="16.5" customHeight="1">
      <c r="A19" s="7">
        <v>15</v>
      </c>
      <c r="B19" s="5" t="s">
        <v>66</v>
      </c>
      <c r="C19" s="55">
        <f>IF(C_NumDays&lt;C14,(TRUNC(C_NumDays/C14,6)),1)</f>
        <v>1</v>
      </c>
      <c r="D19" s="52"/>
      <c r="E19" s="14"/>
      <c r="F19" s="14"/>
      <c r="G19" s="74"/>
      <c r="H19" s="74"/>
      <c r="I19" s="74"/>
      <c r="J19" s="74"/>
      <c r="K19" s="74"/>
      <c r="L19" s="74"/>
      <c r="M19" s="74"/>
      <c r="N19" s="74"/>
    </row>
    <row r="20" spans="1:13" ht="16.5" customHeight="1">
      <c r="A20" s="7">
        <v>16</v>
      </c>
      <c r="B20" s="5" t="s">
        <v>96</v>
      </c>
      <c r="C20" s="40"/>
      <c r="D20" s="52"/>
      <c r="E20" s="14"/>
      <c r="F20" s="74"/>
      <c r="G20" s="74"/>
      <c r="H20" s="74"/>
      <c r="I20" s="74"/>
      <c r="J20" s="74"/>
      <c r="K20" s="74"/>
      <c r="L20" s="74"/>
      <c r="M20" s="74"/>
    </row>
    <row r="21" spans="1:14" ht="16.5" customHeight="1">
      <c r="A21" s="7">
        <v>17</v>
      </c>
      <c r="B21" s="5" t="s">
        <v>95</v>
      </c>
      <c r="C21" s="54">
        <f>IF(C_OneWay="Y",0.5,1)</f>
        <v>1</v>
      </c>
      <c r="D21" s="52"/>
      <c r="E21" s="80"/>
      <c r="F21" s="14"/>
      <c r="G21" s="74"/>
      <c r="H21" s="74"/>
      <c r="I21" s="74"/>
      <c r="J21" s="74"/>
      <c r="K21" s="74"/>
      <c r="L21" s="74"/>
      <c r="M21" s="74"/>
      <c r="N21" s="74"/>
    </row>
    <row r="22" spans="1:12" ht="16.5" customHeight="1">
      <c r="A22" s="7">
        <v>18</v>
      </c>
      <c r="B22" s="5" t="s">
        <v>93</v>
      </c>
      <c r="C22" s="78">
        <f>IF(C_AppDailyMiles&lt;20,TRUNC(C_AppDailyMiles/20,4),1)</f>
        <v>0</v>
      </c>
      <c r="D22" s="52"/>
      <c r="E22" s="14"/>
      <c r="F22" s="74"/>
      <c r="G22" s="76"/>
      <c r="H22" s="74"/>
      <c r="I22" s="74"/>
      <c r="J22" s="74"/>
      <c r="K22" s="74"/>
      <c r="L22" s="74"/>
    </row>
    <row r="23" spans="1:13" ht="16.5" customHeight="1">
      <c r="A23" s="7">
        <v>19</v>
      </c>
      <c r="B23" s="5" t="s">
        <v>91</v>
      </c>
      <c r="C23" s="73">
        <f>IF(AND(C_DayFrac="",C_TripFrac="",C_MileFrac=""),"",TRUNC(C_DayFrac*C_TripFrac*C_MileFrac,8))</f>
        <v>0</v>
      </c>
      <c r="D23" s="52"/>
      <c r="E23" s="14"/>
      <c r="F23" s="14"/>
      <c r="G23" s="14"/>
      <c r="H23" s="74"/>
      <c r="I23" s="74"/>
      <c r="J23" s="74"/>
      <c r="K23" s="74"/>
      <c r="L23" s="74"/>
      <c r="M23" s="74"/>
    </row>
    <row r="24" spans="1:13" ht="16.5" customHeight="1">
      <c r="A24" s="7">
        <v>20</v>
      </c>
      <c r="B24" s="5" t="str">
        <f>IF(C_SY1="","Cost Index",CONCATENATE("Cost Index for ",C_SY1-1))</f>
        <v>Cost Index</v>
      </c>
      <c r="C24" s="81"/>
      <c r="E24" s="53"/>
      <c r="H24" s="75"/>
      <c r="I24" s="75"/>
      <c r="J24" s="75"/>
      <c r="K24" s="75"/>
      <c r="L24" s="75"/>
      <c r="M24" s="75"/>
    </row>
    <row r="28" spans="2:3" ht="12">
      <c r="B28" s="97"/>
      <c r="C28" s="98"/>
    </row>
    <row r="29" spans="2:3" ht="12">
      <c r="B29" s="98"/>
      <c r="C29" s="98"/>
    </row>
    <row r="30" spans="2:3" ht="12">
      <c r="B30" s="98"/>
      <c r="C30" s="98"/>
    </row>
    <row r="31" spans="2:3" ht="12">
      <c r="B31" s="97"/>
      <c r="C31" s="97"/>
    </row>
    <row r="32" spans="2:3" ht="12">
      <c r="B32" s="97"/>
      <c r="C32" s="97"/>
    </row>
    <row r="33" spans="2:3" ht="12">
      <c r="B33" s="97"/>
      <c r="C33" s="97"/>
    </row>
    <row r="34" spans="2:3" ht="12">
      <c r="B34" s="97"/>
      <c r="C34" s="97"/>
    </row>
    <row r="35" spans="2:3" ht="12">
      <c r="B35" s="97"/>
      <c r="C35" s="97"/>
    </row>
    <row r="36" spans="2:3" ht="12">
      <c r="B36" s="97"/>
      <c r="C36" s="97"/>
    </row>
    <row r="37" spans="2:3" ht="12">
      <c r="B37" s="97"/>
      <c r="C37" s="97"/>
    </row>
    <row r="39" spans="2:5" ht="12">
      <c r="B39" s="96"/>
      <c r="C39" s="96"/>
      <c r="D39" s="96"/>
      <c r="E39" s="96"/>
    </row>
  </sheetData>
  <sheetProtection password="DB01" sheet="1" objects="1" scenarios="1"/>
  <mergeCells count="8">
    <mergeCell ref="A1:B1"/>
    <mergeCell ref="A3:B3"/>
    <mergeCell ref="B39:E39"/>
    <mergeCell ref="B28:C30"/>
    <mergeCell ref="C8:H8"/>
    <mergeCell ref="C5:J5"/>
    <mergeCell ref="C6:J6"/>
    <mergeCell ref="B31:C3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9.7109375" style="5" customWidth="1"/>
    <col min="2" max="2" width="10.7109375" style="5" customWidth="1"/>
    <col min="3" max="3" width="11.7109375" style="5" customWidth="1"/>
    <col min="4" max="4" width="2.00390625" style="5" bestFit="1" customWidth="1"/>
    <col min="5" max="5" width="5.7109375" style="5" customWidth="1"/>
    <col min="6" max="6" width="1.7109375" style="5" bestFit="1" customWidth="1"/>
    <col min="7" max="7" width="14.7109375" style="5" customWidth="1"/>
    <col min="8" max="8" width="2.00390625" style="5" bestFit="1" customWidth="1"/>
    <col min="9" max="9" width="5.00390625" style="6" bestFit="1" customWidth="1"/>
    <col min="10" max="10" width="1.7109375" style="5" bestFit="1" customWidth="1"/>
    <col min="11" max="11" width="15.421875" style="5" customWidth="1"/>
    <col min="12" max="12" width="2.7109375" style="7" customWidth="1"/>
    <col min="13" max="13" width="17.7109375" style="7" bestFit="1" customWidth="1"/>
    <col min="14" max="14" width="2.00390625" style="5" bestFit="1" customWidth="1"/>
    <col min="15" max="15" width="12.7109375" style="8" customWidth="1"/>
    <col min="16" max="16" width="3.00390625" style="24" bestFit="1" customWidth="1"/>
    <col min="17" max="17" width="11.57421875" style="10" bestFit="1" customWidth="1"/>
    <col min="18" max="19" width="10.7109375" style="5" customWidth="1"/>
    <col min="20" max="16384" width="9.140625" style="5" customWidth="1"/>
  </cols>
  <sheetData>
    <row r="1" spans="1:17" ht="12.75">
      <c r="A1" s="124" t="s">
        <v>61</v>
      </c>
      <c r="B1" s="124"/>
      <c r="C1" s="125"/>
      <c r="Q1" s="38" t="s">
        <v>97</v>
      </c>
    </row>
    <row r="2" spans="9:17" s="10" customFormat="1" ht="11.25">
      <c r="I2" s="11"/>
      <c r="L2" s="12"/>
      <c r="M2" s="12"/>
      <c r="O2" s="13"/>
      <c r="P2" s="9"/>
      <c r="Q2" s="38" t="s">
        <v>69</v>
      </c>
    </row>
    <row r="3" spans="2:17" ht="12">
      <c r="B3" s="96" t="s">
        <v>8</v>
      </c>
      <c r="C3" s="96"/>
      <c r="D3" s="14"/>
      <c r="Q3" s="72">
        <v>39729</v>
      </c>
    </row>
    <row r="4" spans="2:16" s="10" customFormat="1" ht="11.25">
      <c r="B4" s="15"/>
      <c r="C4" s="15"/>
      <c r="D4" s="15"/>
      <c r="I4" s="11"/>
      <c r="L4" s="12"/>
      <c r="M4" s="12"/>
      <c r="O4" s="13"/>
      <c r="P4" s="9"/>
    </row>
    <row r="5" spans="2:9" ht="12">
      <c r="B5" s="14"/>
      <c r="C5" s="14" t="s">
        <v>18</v>
      </c>
      <c r="D5" s="14"/>
      <c r="I5" s="16" t="s">
        <v>20</v>
      </c>
    </row>
    <row r="6" spans="3:16" ht="12">
      <c r="C6" s="5" t="s">
        <v>19</v>
      </c>
      <c r="I6" s="16" t="s">
        <v>21</v>
      </c>
      <c r="O6" s="17">
        <f>IF(C_Capacity=0,"",(IF(C_Capacity&gt;=11,540,360)))</f>
      </c>
      <c r="P6" s="18" t="s">
        <v>53</v>
      </c>
    </row>
    <row r="7" spans="9:16" s="10" customFormat="1" ht="11.25">
      <c r="I7" s="11"/>
      <c r="L7" s="12"/>
      <c r="M7" s="12"/>
      <c r="O7" s="13"/>
      <c r="P7" s="9"/>
    </row>
    <row r="8" spans="2:4" ht="12">
      <c r="B8" s="96" t="s">
        <v>9</v>
      </c>
      <c r="C8" s="96"/>
      <c r="D8" s="14"/>
    </row>
    <row r="9" spans="2:16" s="10" customFormat="1" ht="11.25">
      <c r="B9" s="15"/>
      <c r="C9" s="15"/>
      <c r="D9" s="15"/>
      <c r="I9" s="11"/>
      <c r="L9" s="12"/>
      <c r="M9" s="12"/>
      <c r="O9" s="13"/>
      <c r="P9" s="9"/>
    </row>
    <row r="10" spans="2:14" ht="12.75">
      <c r="B10" s="14"/>
      <c r="C10" s="19" t="s">
        <v>3</v>
      </c>
      <c r="D10" s="20"/>
      <c r="E10" s="20" t="s">
        <v>10</v>
      </c>
      <c r="F10" s="20"/>
      <c r="G10" s="112" t="s">
        <v>11</v>
      </c>
      <c r="H10" s="113"/>
      <c r="I10" s="113"/>
      <c r="J10" s="20"/>
      <c r="K10" s="20" t="s">
        <v>67</v>
      </c>
      <c r="N10" s="7"/>
    </row>
    <row r="11" spans="2:14" ht="12">
      <c r="B11" s="14"/>
      <c r="C11" s="14" t="s">
        <v>12</v>
      </c>
      <c r="D11" s="14"/>
      <c r="E11" s="1">
        <v>20</v>
      </c>
      <c r="F11" s="1" t="s">
        <v>16</v>
      </c>
      <c r="G11" s="108" t="str">
        <f>IF(AND(C_Age&gt;=0,C_Age&lt;=3),C_Capacity,"-")</f>
        <v>-</v>
      </c>
      <c r="H11" s="108"/>
      <c r="I11" s="108"/>
      <c r="J11" s="1" t="s">
        <v>26</v>
      </c>
      <c r="K11" s="1">
        <f>IF(G11="-",0,ROUND(E11*G11,0))</f>
        <v>0</v>
      </c>
      <c r="N11" s="7"/>
    </row>
    <row r="12" spans="2:14" ht="12">
      <c r="B12" s="14"/>
      <c r="C12" s="14" t="s">
        <v>13</v>
      </c>
      <c r="D12" s="14"/>
      <c r="E12" s="1">
        <v>18</v>
      </c>
      <c r="F12" s="1" t="s">
        <v>16</v>
      </c>
      <c r="G12" s="108" t="str">
        <f>IF(AND(C_Age&gt;=4,C_Age&lt;=6),C_Capacity,"-")</f>
        <v>-</v>
      </c>
      <c r="H12" s="108"/>
      <c r="I12" s="108"/>
      <c r="J12" s="1" t="s">
        <v>26</v>
      </c>
      <c r="K12" s="1">
        <f>IF(G12="-",0,ROUND(E12*G12,0))</f>
        <v>0</v>
      </c>
      <c r="N12" s="7"/>
    </row>
    <row r="13" spans="3:14" ht="12">
      <c r="C13" s="5" t="s">
        <v>14</v>
      </c>
      <c r="E13" s="1">
        <v>16</v>
      </c>
      <c r="F13" s="1" t="s">
        <v>16</v>
      </c>
      <c r="G13" s="108" t="str">
        <f>IF(AND(C_Age&gt;=7,C_Age&lt;=10),C_Capacity,"-")</f>
        <v>-</v>
      </c>
      <c r="H13" s="108"/>
      <c r="I13" s="108"/>
      <c r="J13" s="1" t="s">
        <v>26</v>
      </c>
      <c r="K13" s="1">
        <f>IF(G13="-",0,ROUND(E13*G13,0))</f>
        <v>0</v>
      </c>
      <c r="N13" s="2"/>
    </row>
    <row r="14" spans="3:16" ht="12">
      <c r="C14" s="5" t="s">
        <v>15</v>
      </c>
      <c r="E14" s="1">
        <v>12</v>
      </c>
      <c r="F14" s="1" t="s">
        <v>16</v>
      </c>
      <c r="G14" s="108">
        <f>IF(C_Age&lt;11,"-",C_Capacity)</f>
        <v>0</v>
      </c>
      <c r="H14" s="108"/>
      <c r="I14" s="108"/>
      <c r="J14" s="1" t="s">
        <v>26</v>
      </c>
      <c r="K14" s="1">
        <f>IF(G14="-",0,ROUND(E14*G14,0))</f>
        <v>0</v>
      </c>
      <c r="N14" s="1"/>
      <c r="O14" s="33">
        <f>SUM(K11:K14)</f>
        <v>0</v>
      </c>
      <c r="P14" s="18" t="s">
        <v>54</v>
      </c>
    </row>
    <row r="15" spans="5:16" s="10" customFormat="1" ht="11.25">
      <c r="E15" s="2"/>
      <c r="F15" s="2"/>
      <c r="G15" s="2"/>
      <c r="H15" s="2"/>
      <c r="I15" s="2"/>
      <c r="J15" s="2"/>
      <c r="L15" s="12"/>
      <c r="M15" s="12"/>
      <c r="N15" s="12"/>
      <c r="O15" s="21"/>
      <c r="P15" s="18"/>
    </row>
    <row r="16" spans="5:17" ht="12">
      <c r="E16" s="1"/>
      <c r="F16" s="1"/>
      <c r="G16" s="1"/>
      <c r="H16" s="1"/>
      <c r="I16" s="1"/>
      <c r="J16" s="1"/>
      <c r="O16" s="17">
        <f>SUM(O6,O14)</f>
        <v>0</v>
      </c>
      <c r="Q16" s="22"/>
    </row>
    <row r="17" spans="5:16" s="10" customFormat="1" ht="11.25">
      <c r="E17" s="2"/>
      <c r="F17" s="2"/>
      <c r="G17" s="2"/>
      <c r="H17" s="2"/>
      <c r="I17" s="2"/>
      <c r="J17" s="2"/>
      <c r="L17" s="12"/>
      <c r="M17" s="12"/>
      <c r="N17" s="12"/>
      <c r="O17" s="21"/>
      <c r="P17" s="18"/>
    </row>
    <row r="18" spans="5:17" ht="12">
      <c r="E18" s="1"/>
      <c r="F18" s="1"/>
      <c r="G18" s="1"/>
      <c r="H18" s="1"/>
      <c r="I18" s="1"/>
      <c r="J18" s="1"/>
      <c r="M18" s="82" t="s">
        <v>91</v>
      </c>
      <c r="O18" s="77">
        <f>IF(C_FinalFrac=1," ",C_FinalFrac)</f>
        <v>0</v>
      </c>
      <c r="Q18" s="22"/>
    </row>
    <row r="19" spans="5:16" s="10" customFormat="1" ht="11.25">
      <c r="E19" s="2"/>
      <c r="F19" s="2"/>
      <c r="G19" s="2"/>
      <c r="H19" s="2"/>
      <c r="I19" s="2"/>
      <c r="J19" s="2"/>
      <c r="L19" s="12"/>
      <c r="M19" s="12"/>
      <c r="N19" s="12"/>
      <c r="O19" s="21"/>
      <c r="P19" s="18"/>
    </row>
    <row r="20" spans="5:17" ht="12">
      <c r="E20" s="1"/>
      <c r="F20" s="1"/>
      <c r="G20" s="1"/>
      <c r="H20" s="1"/>
      <c r="I20" s="1"/>
      <c r="J20" s="1"/>
      <c r="O20" s="25">
        <f>ROUND(O16*C_FinalFrac,2)</f>
        <v>0</v>
      </c>
      <c r="Q20" s="22" t="s">
        <v>22</v>
      </c>
    </row>
    <row r="21" spans="5:16" s="10" customFormat="1" ht="11.25">
      <c r="E21" s="2"/>
      <c r="F21" s="2"/>
      <c r="G21" s="12"/>
      <c r="H21" s="12"/>
      <c r="I21" s="12"/>
      <c r="J21" s="2"/>
      <c r="L21" s="12"/>
      <c r="M21" s="12"/>
      <c r="O21" s="13"/>
      <c r="P21" s="9"/>
    </row>
    <row r="22" spans="1:14" ht="12">
      <c r="A22" s="111" t="s">
        <v>5</v>
      </c>
      <c r="B22" s="111"/>
      <c r="N22" s="7"/>
    </row>
    <row r="23" spans="9:16" s="10" customFormat="1" ht="11.25">
      <c r="I23" s="11"/>
      <c r="L23" s="12"/>
      <c r="M23" s="12"/>
      <c r="O23" s="13"/>
      <c r="P23" s="9"/>
    </row>
    <row r="24" spans="2:14" ht="12">
      <c r="B24" s="109" t="s">
        <v>23</v>
      </c>
      <c r="C24" s="109"/>
      <c r="D24" s="23"/>
      <c r="E24" s="109" t="s">
        <v>24</v>
      </c>
      <c r="F24" s="109"/>
      <c r="G24" s="109"/>
      <c r="H24" s="7"/>
      <c r="I24" s="110" t="s">
        <v>25</v>
      </c>
      <c r="J24" s="110"/>
      <c r="K24" s="109"/>
      <c r="N24" s="10"/>
    </row>
    <row r="25" spans="2:17" ht="12">
      <c r="B25" s="114">
        <f>C_AppDailyMiles</f>
        <v>0</v>
      </c>
      <c r="C25" s="115"/>
      <c r="D25" s="7" t="s">
        <v>16</v>
      </c>
      <c r="E25" s="102">
        <f>C_NumDays</f>
        <v>0</v>
      </c>
      <c r="F25" s="103"/>
      <c r="G25" s="104"/>
      <c r="H25" s="7" t="s">
        <v>26</v>
      </c>
      <c r="I25" s="105">
        <f>ROUND(B25*E25,1)</f>
        <v>0</v>
      </c>
      <c r="J25" s="106"/>
      <c r="K25" s="107"/>
      <c r="L25" s="7" t="s">
        <v>16</v>
      </c>
      <c r="M25" s="28">
        <v>0.23</v>
      </c>
      <c r="N25" s="7" t="s">
        <v>26</v>
      </c>
      <c r="O25" s="25">
        <f>ROUND(I25*M25,2)</f>
        <v>0</v>
      </c>
      <c r="Q25" s="22" t="s">
        <v>27</v>
      </c>
    </row>
    <row r="26" spans="9:16" s="10" customFormat="1" ht="11.25">
      <c r="I26" s="11"/>
      <c r="L26" s="12"/>
      <c r="M26" s="12"/>
      <c r="O26" s="13"/>
      <c r="P26" s="9"/>
    </row>
    <row r="27" spans="1:14" ht="12">
      <c r="A27" s="111" t="s">
        <v>6</v>
      </c>
      <c r="B27" s="111"/>
      <c r="C27" s="111"/>
      <c r="D27" s="111"/>
      <c r="E27" s="111"/>
      <c r="F27" s="111"/>
      <c r="G27" s="111"/>
      <c r="H27" s="111"/>
      <c r="I27" s="111"/>
      <c r="J27" s="4"/>
      <c r="N27" s="7"/>
    </row>
    <row r="28" spans="9:16" s="10" customFormat="1" ht="12">
      <c r="I28" s="11"/>
      <c r="L28" s="12"/>
      <c r="M28" s="12"/>
      <c r="N28" s="7"/>
      <c r="O28" s="13"/>
      <c r="P28" s="9"/>
    </row>
    <row r="29" spans="4:9" ht="12">
      <c r="D29" s="23"/>
      <c r="E29" s="109" t="s">
        <v>28</v>
      </c>
      <c r="F29" s="109"/>
      <c r="G29" s="109"/>
      <c r="H29" s="7"/>
      <c r="I29" s="5"/>
    </row>
    <row r="30" spans="2:14" ht="12">
      <c r="B30" s="109" t="s">
        <v>25</v>
      </c>
      <c r="C30" s="109"/>
      <c r="D30" s="23"/>
      <c r="E30" s="109" t="s">
        <v>29</v>
      </c>
      <c r="F30" s="109"/>
      <c r="G30" s="109"/>
      <c r="H30" s="7"/>
      <c r="I30" s="110" t="s">
        <v>32</v>
      </c>
      <c r="J30" s="110"/>
      <c r="K30" s="109"/>
      <c r="N30" s="10"/>
    </row>
    <row r="31" spans="2:17" ht="12">
      <c r="B31" s="114">
        <f>C_AppAnnMiles</f>
        <v>0</v>
      </c>
      <c r="C31" s="115"/>
      <c r="D31" s="7" t="s">
        <v>16</v>
      </c>
      <c r="E31" s="102">
        <f>C_GrNumPupils</f>
        <v>0</v>
      </c>
      <c r="F31" s="103"/>
      <c r="G31" s="104"/>
      <c r="H31" s="7" t="s">
        <v>26</v>
      </c>
      <c r="I31" s="128">
        <f>ROUND(C_AppAnnMiles*C_GrNumPupils,2)</f>
        <v>0</v>
      </c>
      <c r="J31" s="129"/>
      <c r="K31" s="130"/>
      <c r="L31" s="7" t="s">
        <v>16</v>
      </c>
      <c r="M31" s="28" t="s">
        <v>55</v>
      </c>
      <c r="N31" s="7" t="s">
        <v>26</v>
      </c>
      <c r="O31" s="25">
        <f>ROUND(I31*3.5/1000,2)</f>
        <v>0</v>
      </c>
      <c r="Q31" s="22" t="s">
        <v>30</v>
      </c>
    </row>
    <row r="32" spans="9:16" s="10" customFormat="1" ht="11.25">
      <c r="I32" s="11"/>
      <c r="L32" s="12"/>
      <c r="M32" s="12"/>
      <c r="O32" s="13"/>
      <c r="P32" s="9"/>
    </row>
    <row r="33" spans="1:14" ht="12">
      <c r="A33" s="111" t="s">
        <v>7</v>
      </c>
      <c r="B33" s="111"/>
      <c r="C33" s="111"/>
      <c r="D33" s="111"/>
      <c r="E33" s="111"/>
      <c r="F33" s="111"/>
      <c r="G33" s="111"/>
      <c r="H33" s="4"/>
      <c r="J33" s="6"/>
      <c r="N33" s="7"/>
    </row>
    <row r="34" spans="9:16" s="10" customFormat="1" ht="11.25">
      <c r="I34" s="11"/>
      <c r="L34" s="12"/>
      <c r="M34" s="12"/>
      <c r="O34" s="13"/>
      <c r="P34" s="9"/>
    </row>
    <row r="35" spans="2:14" ht="12.75">
      <c r="B35" s="96" t="s">
        <v>56</v>
      </c>
      <c r="C35" s="96"/>
      <c r="D35" s="123"/>
      <c r="E35" s="123"/>
      <c r="F35" s="123"/>
      <c r="G35" s="123"/>
      <c r="H35" s="3"/>
      <c r="I35" s="121"/>
      <c r="J35" s="121"/>
      <c r="K35" s="122"/>
      <c r="N35" s="10"/>
    </row>
    <row r="36" spans="2:17" ht="12">
      <c r="B36" s="114">
        <f>AppAnnExHrs</f>
        <v>0</v>
      </c>
      <c r="C36" s="115"/>
      <c r="D36" s="3"/>
      <c r="E36" s="126"/>
      <c r="F36" s="126"/>
      <c r="G36" s="126"/>
      <c r="H36" s="3"/>
      <c r="I36" s="127"/>
      <c r="J36" s="127"/>
      <c r="K36" s="127"/>
      <c r="L36" s="7" t="s">
        <v>16</v>
      </c>
      <c r="M36" s="28">
        <v>3</v>
      </c>
      <c r="N36" s="10"/>
      <c r="O36" s="25">
        <f>ROUND(AppAnnExHrs*M36,2)</f>
        <v>0</v>
      </c>
      <c r="Q36" s="22" t="s">
        <v>31</v>
      </c>
    </row>
    <row r="37" spans="9:16" s="10" customFormat="1" ht="12">
      <c r="I37" s="11"/>
      <c r="L37" s="12"/>
      <c r="M37" s="12"/>
      <c r="N37" s="5"/>
      <c r="O37" s="13"/>
      <c r="P37" s="9"/>
    </row>
    <row r="38" spans="9:16" s="10" customFormat="1" ht="11.25">
      <c r="I38" s="11"/>
      <c r="L38" s="12"/>
      <c r="M38" s="12"/>
      <c r="O38" s="13"/>
      <c r="P38" s="9"/>
    </row>
    <row r="39" spans="13:17" ht="12">
      <c r="M39" s="34" t="s">
        <v>58</v>
      </c>
      <c r="N39" s="28" t="s">
        <v>26</v>
      </c>
      <c r="O39" s="25">
        <f>O20+O25+O31+O36</f>
        <v>0</v>
      </c>
      <c r="Q39" s="30" t="s">
        <v>52</v>
      </c>
    </row>
    <row r="40" spans="9:16" s="10" customFormat="1" ht="11.25">
      <c r="I40" s="11"/>
      <c r="L40" s="12"/>
      <c r="M40" s="12"/>
      <c r="O40" s="13"/>
      <c r="P40" s="9"/>
    </row>
    <row r="41" spans="13:15" ht="12">
      <c r="M41" s="29" t="s">
        <v>59</v>
      </c>
      <c r="N41" s="32"/>
      <c r="O41" s="31">
        <f>C_CostIndex</f>
        <v>0</v>
      </c>
    </row>
    <row r="42" spans="9:16" s="10" customFormat="1" ht="12">
      <c r="I42" s="11"/>
      <c r="L42" s="12"/>
      <c r="M42" s="12"/>
      <c r="N42" s="35"/>
      <c r="O42" s="36"/>
      <c r="P42" s="9"/>
    </row>
    <row r="43" spans="11:15" ht="9.75" customHeight="1">
      <c r="K43" s="118" t="s">
        <v>60</v>
      </c>
      <c r="L43" s="119"/>
      <c r="M43" s="120"/>
      <c r="N43" s="37"/>
      <c r="O43" s="116">
        <f>ROUND(C_TotalAllow*C_CostIndex,2)</f>
        <v>0</v>
      </c>
    </row>
    <row r="44" spans="11:15" ht="9.75" customHeight="1">
      <c r="K44" s="119"/>
      <c r="L44" s="119"/>
      <c r="M44" s="120"/>
      <c r="N44" s="32"/>
      <c r="O44" s="117"/>
    </row>
  </sheetData>
  <sheetProtection password="DB01" sheet="1" objects="1" scenarios="1"/>
  <mergeCells count="31">
    <mergeCell ref="E29:G29"/>
    <mergeCell ref="I30:K30"/>
    <mergeCell ref="B31:C31"/>
    <mergeCell ref="E31:G31"/>
    <mergeCell ref="I31:K31"/>
    <mergeCell ref="O43:O44"/>
    <mergeCell ref="K43:M44"/>
    <mergeCell ref="A33:G33"/>
    <mergeCell ref="I35:K35"/>
    <mergeCell ref="B35:G35"/>
    <mergeCell ref="A1:C1"/>
    <mergeCell ref="B36:C36"/>
    <mergeCell ref="E36:G36"/>
    <mergeCell ref="I36:K36"/>
    <mergeCell ref="B30:C30"/>
    <mergeCell ref="E30:G30"/>
    <mergeCell ref="A22:B22"/>
    <mergeCell ref="A27:I27"/>
    <mergeCell ref="B3:C3"/>
    <mergeCell ref="B8:C8"/>
    <mergeCell ref="G10:I10"/>
    <mergeCell ref="G11:I11"/>
    <mergeCell ref="G12:I12"/>
    <mergeCell ref="G13:I13"/>
    <mergeCell ref="B25:C25"/>
    <mergeCell ref="E25:G25"/>
    <mergeCell ref="I25:K25"/>
    <mergeCell ref="G14:I14"/>
    <mergeCell ref="B24:C24"/>
    <mergeCell ref="E24:G24"/>
    <mergeCell ref="I24:K24"/>
  </mergeCells>
  <printOptions horizontalCentered="1"/>
  <pageMargins left="0.25" right="0.25" top="0.5" bottom="0.5" header="0.25" footer="0.2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5" customWidth="1"/>
    <col min="2" max="2" width="50.140625" style="5" bestFit="1" customWidth="1"/>
    <col min="3" max="3" width="10.421875" style="5" bestFit="1" customWidth="1"/>
    <col min="4" max="4" width="1.7109375" style="5" customWidth="1"/>
    <col min="5" max="5" width="8.421875" style="5" customWidth="1"/>
    <col min="6" max="10" width="5.7109375" style="5" customWidth="1"/>
    <col min="11" max="16384" width="9.140625" style="5" customWidth="1"/>
  </cols>
  <sheetData>
    <row r="1" spans="1:5" ht="15.75">
      <c r="A1" s="94" t="s">
        <v>94</v>
      </c>
      <c r="B1" s="94"/>
      <c r="C1" s="14"/>
      <c r="D1" s="14"/>
      <c r="E1" s="14"/>
    </row>
    <row r="2" spans="1:5" ht="12.75">
      <c r="A2" s="46"/>
      <c r="B2" s="46"/>
      <c r="C2" s="14"/>
      <c r="D2" s="14"/>
      <c r="E2" s="14"/>
    </row>
    <row r="3" spans="1:2" ht="15" customHeight="1">
      <c r="A3" s="95" t="s">
        <v>51</v>
      </c>
      <c r="B3" s="95"/>
    </row>
    <row r="5" spans="1:10" ht="16.5" customHeight="1">
      <c r="A5" s="7">
        <v>1</v>
      </c>
      <c r="B5" s="5" t="s">
        <v>1</v>
      </c>
      <c r="C5" s="132"/>
      <c r="D5" s="133"/>
      <c r="E5" s="133"/>
      <c r="F5" s="133"/>
      <c r="G5" s="133"/>
      <c r="H5" s="133"/>
      <c r="I5" s="133"/>
      <c r="J5" s="134"/>
    </row>
    <row r="6" spans="1:10" ht="16.5" customHeight="1">
      <c r="A6" s="7">
        <v>2</v>
      </c>
      <c r="B6" s="5" t="s">
        <v>88</v>
      </c>
      <c r="C6" s="39"/>
      <c r="D6" s="47"/>
      <c r="E6" s="47"/>
      <c r="F6" s="47"/>
      <c r="G6" s="47"/>
      <c r="H6" s="47"/>
      <c r="I6" s="14"/>
      <c r="J6" s="14"/>
    </row>
    <row r="7" spans="1:10" ht="16.5" customHeight="1">
      <c r="A7" s="7">
        <v>3</v>
      </c>
      <c r="B7" s="5" t="s">
        <v>90</v>
      </c>
      <c r="C7" s="132"/>
      <c r="D7" s="133"/>
      <c r="E7" s="133"/>
      <c r="F7" s="133"/>
      <c r="G7" s="133"/>
      <c r="H7" s="134"/>
      <c r="I7" s="14"/>
      <c r="J7" s="14"/>
    </row>
    <row r="8" spans="1:10" ht="16.5" customHeight="1">
      <c r="A8" s="7">
        <v>4</v>
      </c>
      <c r="B8" s="5" t="s">
        <v>2</v>
      </c>
      <c r="C8" s="40"/>
      <c r="D8" s="48"/>
      <c r="E8" s="47"/>
      <c r="F8" s="14"/>
      <c r="G8" s="14"/>
      <c r="H8" s="14"/>
      <c r="I8" s="14"/>
      <c r="J8" s="14"/>
    </row>
    <row r="9" spans="1:14" ht="16.5" customHeight="1">
      <c r="A9" s="7">
        <v>5</v>
      </c>
      <c r="B9" s="5" t="s">
        <v>4</v>
      </c>
      <c r="C9" s="41"/>
      <c r="D9" s="49" t="s">
        <v>17</v>
      </c>
      <c r="E9" s="41"/>
      <c r="F9" s="14"/>
      <c r="G9" s="76"/>
      <c r="H9" s="74"/>
      <c r="I9" s="74"/>
      <c r="J9" s="74"/>
      <c r="K9" s="74"/>
      <c r="L9" s="74"/>
      <c r="M9" s="74"/>
      <c r="N9" s="74"/>
    </row>
    <row r="10" spans="1:14" ht="16.5" customHeight="1">
      <c r="A10" s="7">
        <v>6</v>
      </c>
      <c r="B10" s="5" t="s">
        <v>3</v>
      </c>
      <c r="C10" s="50">
        <f>IF(L_ChassisYear="","",L_SY2-L_ChassisYear)</f>
      </c>
      <c r="D10" s="51"/>
      <c r="E10" s="14"/>
      <c r="F10" s="14"/>
      <c r="G10" s="74"/>
      <c r="H10" s="74"/>
      <c r="I10" s="74"/>
      <c r="J10" s="74"/>
      <c r="K10" s="74"/>
      <c r="L10" s="74"/>
      <c r="M10" s="74"/>
      <c r="N10" s="74"/>
    </row>
    <row r="11" spans="1:14" ht="16.5" customHeight="1">
      <c r="A11" s="7">
        <v>7</v>
      </c>
      <c r="B11" s="5" t="s">
        <v>89</v>
      </c>
      <c r="C11" s="42"/>
      <c r="D11" s="52"/>
      <c r="E11" s="14"/>
      <c r="F11" s="14"/>
      <c r="G11" s="74"/>
      <c r="H11" s="74"/>
      <c r="I11" s="74"/>
      <c r="J11" s="74"/>
      <c r="K11" s="74"/>
      <c r="L11" s="74"/>
      <c r="M11" s="74"/>
      <c r="N11" s="74"/>
    </row>
    <row r="12" spans="1:14" ht="16.5" customHeight="1">
      <c r="A12" s="7">
        <v>8</v>
      </c>
      <c r="B12" s="5" t="s">
        <v>68</v>
      </c>
      <c r="C12" s="42"/>
      <c r="D12" s="52"/>
      <c r="E12" s="53"/>
      <c r="F12" s="14"/>
      <c r="G12" s="74"/>
      <c r="H12" s="74"/>
      <c r="I12" s="74"/>
      <c r="J12" s="74"/>
      <c r="K12" s="74"/>
      <c r="L12" s="74"/>
      <c r="M12" s="74"/>
      <c r="N12" s="74"/>
    </row>
    <row r="13" spans="1:14" ht="16.5" customHeight="1">
      <c r="A13" s="7">
        <v>9</v>
      </c>
      <c r="B13" s="5" t="s">
        <v>83</v>
      </c>
      <c r="C13" s="43"/>
      <c r="D13" s="52"/>
      <c r="E13" s="53"/>
      <c r="F13" s="14"/>
      <c r="G13" s="76"/>
      <c r="H13" s="74"/>
      <c r="I13" s="74"/>
      <c r="J13" s="74"/>
      <c r="K13" s="74"/>
      <c r="L13" s="74"/>
      <c r="M13" s="74"/>
      <c r="N13" s="74"/>
    </row>
    <row r="14" spans="1:14" ht="16.5" customHeight="1">
      <c r="A14" s="7">
        <v>10</v>
      </c>
      <c r="B14" s="5" t="s">
        <v>92</v>
      </c>
      <c r="C14" s="43"/>
      <c r="D14" s="52"/>
      <c r="E14" s="53"/>
      <c r="F14" s="14"/>
      <c r="G14" s="74"/>
      <c r="H14" s="74"/>
      <c r="I14" s="74"/>
      <c r="J14" s="74"/>
      <c r="K14" s="74"/>
      <c r="L14" s="74"/>
      <c r="M14" s="74"/>
      <c r="N14" s="74"/>
    </row>
    <row r="15" spans="1:14" ht="16.5" customHeight="1">
      <c r="A15" s="7">
        <v>11</v>
      </c>
      <c r="B15" s="5" t="s">
        <v>64</v>
      </c>
      <c r="C15" s="44"/>
      <c r="D15" s="52"/>
      <c r="E15" s="14"/>
      <c r="F15" s="14"/>
      <c r="G15" s="74"/>
      <c r="H15" s="74"/>
      <c r="I15" s="74"/>
      <c r="J15" s="74"/>
      <c r="K15" s="74"/>
      <c r="L15" s="74"/>
      <c r="M15" s="74"/>
      <c r="N15" s="74"/>
    </row>
    <row r="16" spans="1:14" ht="16.5" customHeight="1">
      <c r="A16" s="7">
        <v>12</v>
      </c>
      <c r="B16" s="5" t="s">
        <v>65</v>
      </c>
      <c r="C16" s="44"/>
      <c r="D16" s="52"/>
      <c r="E16" s="14"/>
      <c r="F16" s="14"/>
      <c r="G16" s="74"/>
      <c r="H16" s="74"/>
      <c r="I16" s="74"/>
      <c r="J16" s="74"/>
      <c r="K16" s="74"/>
      <c r="L16" s="74"/>
      <c r="M16" s="74"/>
      <c r="N16" s="74"/>
    </row>
    <row r="17" spans="1:14" ht="16.5" customHeight="1">
      <c r="A17" s="7">
        <v>13</v>
      </c>
      <c r="B17" s="5" t="s">
        <v>23</v>
      </c>
      <c r="C17" s="54">
        <f>IF(L_MilesWithout&lt;=L_MilesWith,L_MilesWith+L_MilesWithout,ROUND(L_MilesWith*2,1))</f>
        <v>0</v>
      </c>
      <c r="D17" s="52"/>
      <c r="E17" s="14"/>
      <c r="F17" s="14"/>
      <c r="G17" s="74"/>
      <c r="H17" s="74"/>
      <c r="I17" s="74"/>
      <c r="J17" s="74"/>
      <c r="K17" s="74"/>
      <c r="L17" s="74"/>
      <c r="M17" s="74"/>
      <c r="N17" s="74"/>
    </row>
    <row r="18" spans="1:14" ht="16.5" customHeight="1">
      <c r="A18" s="7">
        <v>14</v>
      </c>
      <c r="B18" s="5" t="s">
        <v>66</v>
      </c>
      <c r="C18" s="55">
        <f>IF(C_NumDays&lt;C14,(TRUNC(C_NumDays/C14,6)),1)</f>
        <v>1</v>
      </c>
      <c r="D18" s="52"/>
      <c r="E18" s="14"/>
      <c r="F18" s="14"/>
      <c r="G18" s="74"/>
      <c r="H18" s="74"/>
      <c r="I18" s="74"/>
      <c r="J18" s="74"/>
      <c r="K18" s="74"/>
      <c r="L18" s="74"/>
      <c r="M18" s="74"/>
      <c r="N18" s="74"/>
    </row>
    <row r="19" spans="1:13" ht="16.5" customHeight="1">
      <c r="A19" s="7">
        <v>15</v>
      </c>
      <c r="B19" s="5" t="s">
        <v>96</v>
      </c>
      <c r="C19" s="42"/>
      <c r="D19" s="52"/>
      <c r="E19" s="14"/>
      <c r="F19" s="74"/>
      <c r="G19" s="74"/>
      <c r="H19" s="74"/>
      <c r="I19" s="74"/>
      <c r="J19" s="74"/>
      <c r="K19" s="74"/>
      <c r="L19" s="74"/>
      <c r="M19" s="74"/>
    </row>
    <row r="20" spans="1:14" ht="16.5" customHeight="1">
      <c r="A20" s="7">
        <v>16</v>
      </c>
      <c r="B20" s="5" t="s">
        <v>95</v>
      </c>
      <c r="C20" s="55">
        <f>IF(L_OneWay="Y",0.5,1)</f>
        <v>1</v>
      </c>
      <c r="D20" s="52"/>
      <c r="E20" s="14"/>
      <c r="F20" s="14"/>
      <c r="G20" s="74"/>
      <c r="H20" s="74"/>
      <c r="I20" s="74"/>
      <c r="J20" s="74"/>
      <c r="K20" s="74"/>
      <c r="L20" s="74"/>
      <c r="M20" s="74"/>
      <c r="N20" s="74"/>
    </row>
    <row r="21" spans="1:12" ht="16.5" customHeight="1">
      <c r="A21" s="7">
        <v>17</v>
      </c>
      <c r="B21" s="5" t="s">
        <v>93</v>
      </c>
      <c r="C21" s="78">
        <f>IF(L_AppDailyMiles&lt;20,TRUNC(L_AppDailyMiles/20,4),1)</f>
        <v>0</v>
      </c>
      <c r="D21" s="52"/>
      <c r="E21" s="14"/>
      <c r="F21" s="74"/>
      <c r="G21" s="76"/>
      <c r="H21" s="74"/>
      <c r="I21" s="74"/>
      <c r="J21" s="74"/>
      <c r="K21" s="74"/>
      <c r="L21" s="74"/>
    </row>
    <row r="22" spans="1:13" ht="16.5" customHeight="1">
      <c r="A22" s="7">
        <v>18</v>
      </c>
      <c r="B22" s="5" t="s">
        <v>91</v>
      </c>
      <c r="C22" s="73">
        <f>TRUNC(L_DayFrac*L_MileFrac*L_TripFrac,8)</f>
        <v>0</v>
      </c>
      <c r="D22" s="52"/>
      <c r="E22" s="14"/>
      <c r="F22" s="14"/>
      <c r="G22" s="14"/>
      <c r="H22" s="74"/>
      <c r="I22" s="74"/>
      <c r="J22" s="74"/>
      <c r="K22" s="74"/>
      <c r="L22" s="74"/>
      <c r="M22" s="74"/>
    </row>
    <row r="23" spans="1:5" ht="16.5" customHeight="1">
      <c r="A23" s="7">
        <v>19</v>
      </c>
      <c r="B23" s="5" t="str">
        <f>IF(L_SY1="","Cost Index",CONCATENATE("Cost Index for ",L_SY1-1))</f>
        <v>Cost Index</v>
      </c>
      <c r="C23" s="45"/>
      <c r="E23" s="53"/>
    </row>
    <row r="28" spans="2:3" ht="12">
      <c r="B28" s="97"/>
      <c r="C28" s="98"/>
    </row>
    <row r="29" spans="2:3" ht="12">
      <c r="B29" s="98"/>
      <c r="C29" s="98"/>
    </row>
    <row r="30" spans="2:3" ht="12">
      <c r="B30" s="98"/>
      <c r="C30" s="98"/>
    </row>
    <row r="31" spans="2:3" ht="12">
      <c r="B31" s="131"/>
      <c r="C31" s="98"/>
    </row>
    <row r="32" spans="2:3" ht="12">
      <c r="B32" s="98"/>
      <c r="C32" s="98"/>
    </row>
    <row r="33" spans="2:3" ht="12">
      <c r="B33" s="98"/>
      <c r="C33" s="98"/>
    </row>
    <row r="34" spans="2:3" ht="12">
      <c r="B34" s="98"/>
      <c r="C34" s="98"/>
    </row>
    <row r="35" spans="2:3" ht="12">
      <c r="B35" s="98"/>
      <c r="C35" s="98"/>
    </row>
    <row r="36" spans="2:3" ht="12">
      <c r="B36" s="98"/>
      <c r="C36" s="98"/>
    </row>
    <row r="37" spans="2:3" ht="12">
      <c r="B37" s="98"/>
      <c r="C37" s="98"/>
    </row>
    <row r="39" spans="2:3" ht="12">
      <c r="B39" s="97"/>
      <c r="C39" s="97"/>
    </row>
    <row r="40" spans="2:3" ht="12">
      <c r="B40" s="97"/>
      <c r="C40" s="97"/>
    </row>
    <row r="41" spans="2:3" ht="12">
      <c r="B41" s="97"/>
      <c r="C41" s="97"/>
    </row>
    <row r="42" spans="2:3" ht="12">
      <c r="B42" s="97"/>
      <c r="C42" s="97"/>
    </row>
    <row r="43" spans="2:3" ht="12">
      <c r="B43" s="97"/>
      <c r="C43" s="97"/>
    </row>
    <row r="44" spans="2:3" ht="12">
      <c r="B44" s="97"/>
      <c r="C44" s="97"/>
    </row>
    <row r="45" spans="2:3" ht="12">
      <c r="B45" s="97"/>
      <c r="C45" s="97"/>
    </row>
    <row r="47" spans="2:5" ht="12">
      <c r="B47" s="96"/>
      <c r="C47" s="96"/>
      <c r="D47" s="96"/>
      <c r="E47" s="96"/>
    </row>
  </sheetData>
  <sheetProtection password="DB01" sheet="1" objects="1" scenarios="1"/>
  <mergeCells count="8">
    <mergeCell ref="B31:C37"/>
    <mergeCell ref="B39:C45"/>
    <mergeCell ref="B47:E47"/>
    <mergeCell ref="A1:B1"/>
    <mergeCell ref="A3:B3"/>
    <mergeCell ref="C7:H7"/>
    <mergeCell ref="B28:C30"/>
    <mergeCell ref="C5:J5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9.7109375" style="5" customWidth="1"/>
    <col min="2" max="2" width="10.7109375" style="5" customWidth="1"/>
    <col min="3" max="3" width="11.7109375" style="5" customWidth="1"/>
    <col min="4" max="4" width="2.00390625" style="5" bestFit="1" customWidth="1"/>
    <col min="5" max="5" width="5.7109375" style="5" customWidth="1"/>
    <col min="6" max="6" width="1.7109375" style="5" customWidth="1"/>
    <col min="7" max="7" width="14.7109375" style="5" customWidth="1"/>
    <col min="8" max="8" width="2.00390625" style="5" bestFit="1" customWidth="1"/>
    <col min="9" max="9" width="5.00390625" style="6" bestFit="1" customWidth="1"/>
    <col min="10" max="10" width="1.7109375" style="5" bestFit="1" customWidth="1"/>
    <col min="11" max="11" width="15.421875" style="5" customWidth="1"/>
    <col min="12" max="12" width="2.7109375" style="7" customWidth="1"/>
    <col min="13" max="13" width="17.7109375" style="7" customWidth="1"/>
    <col min="14" max="14" width="2.00390625" style="5" bestFit="1" customWidth="1"/>
    <col min="15" max="15" width="12.7109375" style="8" customWidth="1"/>
    <col min="16" max="16" width="3.00390625" style="9" bestFit="1" customWidth="1"/>
    <col min="17" max="17" width="11.57421875" style="10" bestFit="1" customWidth="1"/>
    <col min="18" max="19" width="10.7109375" style="5" customWidth="1"/>
    <col min="20" max="16384" width="9.140625" style="5" customWidth="1"/>
  </cols>
  <sheetData>
    <row r="1" spans="1:17" ht="12.75">
      <c r="A1" s="124" t="s">
        <v>62</v>
      </c>
      <c r="B1" s="124"/>
      <c r="C1" s="125"/>
      <c r="D1" s="125"/>
      <c r="E1" s="125"/>
      <c r="F1" s="125"/>
      <c r="G1" s="125"/>
      <c r="Q1" s="38" t="s">
        <v>100</v>
      </c>
    </row>
    <row r="2" spans="9:17" s="10" customFormat="1" ht="11.25">
      <c r="I2" s="11"/>
      <c r="L2" s="12"/>
      <c r="M2" s="12"/>
      <c r="O2" s="13"/>
      <c r="P2" s="9"/>
      <c r="Q2" s="38" t="s">
        <v>69</v>
      </c>
    </row>
    <row r="3" spans="2:17" ht="12">
      <c r="B3" s="96" t="s">
        <v>8</v>
      </c>
      <c r="C3" s="96"/>
      <c r="D3" s="14"/>
      <c r="Q3" s="72">
        <v>39729</v>
      </c>
    </row>
    <row r="4" spans="2:16" s="10" customFormat="1" ht="11.25">
      <c r="B4" s="15"/>
      <c r="C4" s="15"/>
      <c r="D4" s="15"/>
      <c r="I4" s="11"/>
      <c r="L4" s="12"/>
      <c r="M4" s="12"/>
      <c r="O4" s="13"/>
      <c r="P4" s="9"/>
    </row>
    <row r="5" spans="2:9" ht="12">
      <c r="B5" s="14"/>
      <c r="C5" s="14" t="s">
        <v>18</v>
      </c>
      <c r="D5" s="14"/>
      <c r="I5" s="16" t="s">
        <v>20</v>
      </c>
    </row>
    <row r="6" spans="3:16" ht="12">
      <c r="C6" s="5" t="s">
        <v>19</v>
      </c>
      <c r="I6" s="16" t="s">
        <v>21</v>
      </c>
      <c r="O6" s="17">
        <f>IF(L_Capacity=0,"",(IF(L_Capacity&gt;=11,540,360)))</f>
      </c>
      <c r="P6" s="18" t="s">
        <v>53</v>
      </c>
    </row>
    <row r="7" spans="9:16" s="10" customFormat="1" ht="11.25">
      <c r="I7" s="11"/>
      <c r="L7" s="12"/>
      <c r="M7" s="12"/>
      <c r="O7" s="13"/>
      <c r="P7" s="9"/>
    </row>
    <row r="8" spans="2:4" ht="12">
      <c r="B8" s="96" t="s">
        <v>9</v>
      </c>
      <c r="C8" s="96"/>
      <c r="D8" s="14"/>
    </row>
    <row r="9" spans="2:16" s="10" customFormat="1" ht="11.25">
      <c r="B9" s="15"/>
      <c r="C9" s="15"/>
      <c r="D9" s="15"/>
      <c r="I9" s="11"/>
      <c r="L9" s="12"/>
      <c r="M9" s="12"/>
      <c r="O9" s="13"/>
      <c r="P9" s="9"/>
    </row>
    <row r="10" spans="2:14" ht="12">
      <c r="B10" s="14"/>
      <c r="C10" s="19" t="s">
        <v>3</v>
      </c>
      <c r="D10" s="20"/>
      <c r="E10" s="20" t="s">
        <v>10</v>
      </c>
      <c r="F10" s="20"/>
      <c r="G10" s="112" t="s">
        <v>11</v>
      </c>
      <c r="H10" s="112"/>
      <c r="I10" s="135"/>
      <c r="J10" s="20"/>
      <c r="K10" s="20" t="s">
        <v>67</v>
      </c>
      <c r="N10" s="7"/>
    </row>
    <row r="11" spans="3:14" ht="12">
      <c r="C11" s="5" t="s">
        <v>33</v>
      </c>
      <c r="E11" s="1">
        <v>15</v>
      </c>
      <c r="F11" s="1" t="s">
        <v>16</v>
      </c>
      <c r="G11" s="108" t="str">
        <f>IF(AND(L_Age&gt;=0,L_Age&lt;=10),L_Capacity,"-")</f>
        <v>-</v>
      </c>
      <c r="H11" s="108"/>
      <c r="I11" s="108"/>
      <c r="J11" s="1" t="s">
        <v>26</v>
      </c>
      <c r="K11" s="1">
        <f>IF(G11="-",0,ROUND(E11*G11,0))</f>
        <v>0</v>
      </c>
      <c r="N11" s="7"/>
    </row>
    <row r="12" spans="3:16" ht="12">
      <c r="C12" s="5" t="s">
        <v>15</v>
      </c>
      <c r="E12" s="1">
        <v>12</v>
      </c>
      <c r="F12" s="1" t="s">
        <v>16</v>
      </c>
      <c r="G12" s="108">
        <f>IF(L_Age&lt;11,"-",L_Capacity)</f>
        <v>0</v>
      </c>
      <c r="H12" s="108"/>
      <c r="I12" s="108"/>
      <c r="J12" s="1" t="s">
        <v>26</v>
      </c>
      <c r="K12" s="1">
        <f>IF(G12="-",0,ROUND(E12*G12,0))</f>
        <v>0</v>
      </c>
      <c r="N12" s="7"/>
      <c r="O12" s="17">
        <f>SUM(K11:K12)</f>
        <v>0</v>
      </c>
      <c r="P12" s="18" t="s">
        <v>54</v>
      </c>
    </row>
    <row r="13" spans="5:16" s="10" customFormat="1" ht="12">
      <c r="E13" s="2"/>
      <c r="F13" s="2"/>
      <c r="G13" s="2"/>
      <c r="H13" s="2"/>
      <c r="I13" s="2"/>
      <c r="J13" s="1"/>
      <c r="L13" s="12"/>
      <c r="M13" s="12"/>
      <c r="N13" s="2"/>
      <c r="O13" s="21"/>
      <c r="P13" s="18"/>
    </row>
    <row r="14" spans="5:17" ht="12">
      <c r="E14" s="1"/>
      <c r="F14" s="1"/>
      <c r="G14" s="1"/>
      <c r="H14" s="1"/>
      <c r="I14" s="1"/>
      <c r="J14" s="1"/>
      <c r="N14" s="1"/>
      <c r="O14" s="17">
        <f>SUM(O6,O12)</f>
        <v>0</v>
      </c>
      <c r="Q14" s="22"/>
    </row>
    <row r="15" spans="5:16" s="10" customFormat="1" ht="11.25">
      <c r="E15" s="2"/>
      <c r="F15" s="2"/>
      <c r="G15" s="2"/>
      <c r="H15" s="2"/>
      <c r="I15" s="2"/>
      <c r="J15" s="2"/>
      <c r="L15" s="12"/>
      <c r="M15" s="12"/>
      <c r="N15" s="12"/>
      <c r="O15" s="21"/>
      <c r="P15" s="18"/>
    </row>
    <row r="16" spans="5:17" ht="12">
      <c r="E16" s="1"/>
      <c r="F16" s="1"/>
      <c r="G16" s="1"/>
      <c r="H16" s="1"/>
      <c r="I16" s="1"/>
      <c r="J16" s="1"/>
      <c r="M16" s="82" t="s">
        <v>91</v>
      </c>
      <c r="O16" s="77">
        <f>IF(L_FinalFrac=1," ",L_FinalFrac)</f>
        <v>0</v>
      </c>
      <c r="P16" s="24"/>
      <c r="Q16" s="22"/>
    </row>
    <row r="17" spans="5:16" s="10" customFormat="1" ht="11.25">
      <c r="E17" s="2"/>
      <c r="F17" s="2"/>
      <c r="G17" s="2"/>
      <c r="H17" s="2"/>
      <c r="I17" s="2"/>
      <c r="J17" s="2"/>
      <c r="L17" s="12"/>
      <c r="M17" s="12"/>
      <c r="N17" s="12"/>
      <c r="O17" s="21"/>
      <c r="P17" s="18"/>
    </row>
    <row r="18" spans="5:17" ht="12">
      <c r="E18" s="1"/>
      <c r="F18" s="1"/>
      <c r="G18" s="1"/>
      <c r="H18" s="1"/>
      <c r="I18" s="1"/>
      <c r="J18" s="1"/>
      <c r="O18" s="25">
        <f>ROUND(O14*L_FinalFrac,2)</f>
        <v>0</v>
      </c>
      <c r="P18" s="24"/>
      <c r="Q18" s="22" t="s">
        <v>22</v>
      </c>
    </row>
    <row r="19" spans="5:16" s="10" customFormat="1" ht="11.25">
      <c r="E19" s="2"/>
      <c r="F19" s="2"/>
      <c r="G19" s="12"/>
      <c r="H19" s="12"/>
      <c r="I19" s="12"/>
      <c r="J19" s="2"/>
      <c r="L19" s="12"/>
      <c r="M19" s="12"/>
      <c r="N19" s="12"/>
      <c r="O19" s="13"/>
      <c r="P19" s="9"/>
    </row>
    <row r="20" spans="1:10" ht="12">
      <c r="A20" s="111" t="s">
        <v>5</v>
      </c>
      <c r="B20" s="111"/>
      <c r="J20" s="1"/>
    </row>
    <row r="21" spans="9:16" s="10" customFormat="1" ht="11.25">
      <c r="I21" s="11"/>
      <c r="J21" s="2"/>
      <c r="L21" s="12"/>
      <c r="M21" s="12"/>
      <c r="O21" s="13"/>
      <c r="P21" s="9"/>
    </row>
    <row r="22" spans="2:14" ht="12">
      <c r="B22" s="109" t="s">
        <v>23</v>
      </c>
      <c r="C22" s="109"/>
      <c r="D22" s="23"/>
      <c r="E22" s="109" t="s">
        <v>24</v>
      </c>
      <c r="F22" s="109"/>
      <c r="G22" s="109"/>
      <c r="H22" s="7"/>
      <c r="I22" s="110" t="s">
        <v>25</v>
      </c>
      <c r="J22" s="110"/>
      <c r="K22" s="109"/>
      <c r="N22" s="7"/>
    </row>
    <row r="23" spans="2:17" ht="12">
      <c r="B23" s="114">
        <f>L_AppDailyMiles</f>
        <v>0</v>
      </c>
      <c r="C23" s="115"/>
      <c r="D23" s="7" t="s">
        <v>16</v>
      </c>
      <c r="E23" s="102">
        <f>L_NumDays</f>
        <v>0</v>
      </c>
      <c r="F23" s="103"/>
      <c r="G23" s="104"/>
      <c r="H23" s="7" t="s">
        <v>26</v>
      </c>
      <c r="I23" s="105">
        <f>ROUND(B23*E23,1)</f>
        <v>0</v>
      </c>
      <c r="J23" s="106"/>
      <c r="K23" s="107"/>
      <c r="L23" s="7" t="s">
        <v>16</v>
      </c>
      <c r="M23" s="26">
        <v>0.23</v>
      </c>
      <c r="N23" s="7" t="s">
        <v>26</v>
      </c>
      <c r="O23" s="25">
        <f>ROUND(I23*0.23,2)</f>
        <v>0</v>
      </c>
      <c r="Q23" s="22" t="s">
        <v>27</v>
      </c>
    </row>
    <row r="24" spans="9:16" s="10" customFormat="1" ht="11.25">
      <c r="I24" s="11"/>
      <c r="J24" s="11"/>
      <c r="L24" s="12"/>
      <c r="M24" s="12"/>
      <c r="O24" s="13"/>
      <c r="P24" s="9"/>
    </row>
    <row r="25" spans="1:14" ht="12">
      <c r="A25" s="111" t="s">
        <v>6</v>
      </c>
      <c r="B25" s="111"/>
      <c r="C25" s="111"/>
      <c r="D25" s="111"/>
      <c r="E25" s="111"/>
      <c r="F25" s="111"/>
      <c r="G25" s="111"/>
      <c r="H25" s="111"/>
      <c r="I25" s="111"/>
      <c r="J25" s="4"/>
      <c r="N25" s="7"/>
    </row>
    <row r="26" spans="9:16" s="10" customFormat="1" ht="11.25">
      <c r="I26" s="11"/>
      <c r="L26" s="12"/>
      <c r="M26" s="12"/>
      <c r="O26" s="13"/>
      <c r="P26" s="9"/>
    </row>
    <row r="27" spans="4:14" ht="12">
      <c r="D27" s="23"/>
      <c r="E27" s="109" t="s">
        <v>28</v>
      </c>
      <c r="F27" s="109"/>
      <c r="G27" s="109"/>
      <c r="H27" s="7"/>
      <c r="I27" s="5"/>
      <c r="J27" s="4"/>
      <c r="N27" s="7"/>
    </row>
    <row r="28" spans="2:14" ht="12">
      <c r="B28" s="109" t="s">
        <v>25</v>
      </c>
      <c r="C28" s="109"/>
      <c r="D28" s="23"/>
      <c r="E28" s="109" t="s">
        <v>29</v>
      </c>
      <c r="F28" s="109"/>
      <c r="G28" s="109"/>
      <c r="H28" s="7"/>
      <c r="I28" s="110" t="s">
        <v>32</v>
      </c>
      <c r="J28" s="110"/>
      <c r="K28" s="109"/>
      <c r="N28" s="7"/>
    </row>
    <row r="29" spans="2:17" ht="12">
      <c r="B29" s="114">
        <f>L_AppAnnMiles</f>
        <v>0</v>
      </c>
      <c r="C29" s="115"/>
      <c r="D29" s="7" t="s">
        <v>16</v>
      </c>
      <c r="E29" s="102">
        <f>L_GrNumPupils</f>
        <v>0</v>
      </c>
      <c r="F29" s="103"/>
      <c r="G29" s="104"/>
      <c r="H29" s="7" t="s">
        <v>26</v>
      </c>
      <c r="I29" s="128">
        <f>ROUND((L_AppAnnMiles*L_GrNumPupils),2)</f>
        <v>0</v>
      </c>
      <c r="J29" s="129"/>
      <c r="K29" s="130"/>
      <c r="L29" s="7" t="s">
        <v>16</v>
      </c>
      <c r="M29" s="27" t="s">
        <v>63</v>
      </c>
      <c r="N29" s="7" t="s">
        <v>26</v>
      </c>
      <c r="O29" s="25">
        <f>ROUND(I29*3/1000,2)</f>
        <v>0</v>
      </c>
      <c r="Q29" s="22" t="s">
        <v>30</v>
      </c>
    </row>
    <row r="30" spans="9:16" s="10" customFormat="1" ht="11.25">
      <c r="I30" s="11"/>
      <c r="J30" s="11"/>
      <c r="L30" s="12"/>
      <c r="M30" s="12"/>
      <c r="O30" s="13"/>
      <c r="P30" s="9"/>
    </row>
    <row r="31" spans="1:14" ht="12">
      <c r="A31" s="111" t="s">
        <v>7</v>
      </c>
      <c r="B31" s="111"/>
      <c r="C31" s="111"/>
      <c r="D31" s="111"/>
      <c r="E31" s="111"/>
      <c r="F31" s="111"/>
      <c r="G31" s="111"/>
      <c r="H31" s="4"/>
      <c r="J31" s="6"/>
      <c r="N31" s="4"/>
    </row>
    <row r="32" spans="9:16" s="10" customFormat="1" ht="11.25">
      <c r="I32" s="11"/>
      <c r="L32" s="12"/>
      <c r="M32" s="12"/>
      <c r="O32" s="13"/>
      <c r="P32" s="9"/>
    </row>
    <row r="33" spans="2:14" ht="12.75">
      <c r="B33" s="96" t="s">
        <v>56</v>
      </c>
      <c r="C33" s="96"/>
      <c r="D33" s="123"/>
      <c r="E33" s="123"/>
      <c r="F33" s="123"/>
      <c r="G33" s="123"/>
      <c r="H33" s="123"/>
      <c r="I33" s="121"/>
      <c r="J33" s="121"/>
      <c r="K33" s="122"/>
      <c r="N33" s="7"/>
    </row>
    <row r="34" spans="2:17" ht="12">
      <c r="B34" s="105">
        <f>AppAnnExHrs</f>
        <v>0</v>
      </c>
      <c r="C34" s="106"/>
      <c r="D34" s="136"/>
      <c r="E34" s="122"/>
      <c r="F34" s="122"/>
      <c r="G34" s="122"/>
      <c r="H34" s="122"/>
      <c r="I34" s="127"/>
      <c r="J34" s="127"/>
      <c r="K34" s="127"/>
      <c r="L34" s="7" t="s">
        <v>16</v>
      </c>
      <c r="M34" s="26">
        <v>3</v>
      </c>
      <c r="N34" s="28" t="s">
        <v>26</v>
      </c>
      <c r="O34" s="25">
        <f>ROUND(AppAnnExHrs*M34,2)</f>
        <v>0</v>
      </c>
      <c r="Q34" s="22" t="s">
        <v>31</v>
      </c>
    </row>
    <row r="35" spans="9:16" s="10" customFormat="1" ht="11.25">
      <c r="I35" s="11"/>
      <c r="J35" s="11"/>
      <c r="L35" s="12"/>
      <c r="M35" s="12"/>
      <c r="O35" s="13"/>
      <c r="P35" s="9"/>
    </row>
    <row r="36" spans="9:16" s="10" customFormat="1" ht="11.25">
      <c r="I36" s="11"/>
      <c r="J36" s="11"/>
      <c r="L36" s="12"/>
      <c r="M36" s="12"/>
      <c r="O36" s="13"/>
      <c r="P36" s="9"/>
    </row>
    <row r="37" spans="10:17" ht="12">
      <c r="J37" s="10"/>
      <c r="M37" s="29" t="s">
        <v>57</v>
      </c>
      <c r="O37" s="25">
        <f>O18+O23+O29+O34</f>
        <v>0</v>
      </c>
      <c r="Q37" s="30" t="s">
        <v>52</v>
      </c>
    </row>
    <row r="38" spans="9:16" s="10" customFormat="1" ht="11.25">
      <c r="I38" s="11"/>
      <c r="L38" s="12"/>
      <c r="M38" s="12"/>
      <c r="O38" s="13"/>
      <c r="P38" s="9"/>
    </row>
    <row r="39" spans="13:15" ht="12">
      <c r="M39" s="29" t="s">
        <v>59</v>
      </c>
      <c r="O39" s="31">
        <f>L_CostIndex</f>
        <v>0</v>
      </c>
    </row>
    <row r="40" spans="9:16" s="10" customFormat="1" ht="11.25">
      <c r="I40" s="11"/>
      <c r="L40" s="12"/>
      <c r="M40" s="12"/>
      <c r="O40" s="13"/>
      <c r="P40" s="9"/>
    </row>
    <row r="41" spans="11:15" ht="9.75" customHeight="1">
      <c r="K41" s="118" t="s">
        <v>60</v>
      </c>
      <c r="L41" s="119"/>
      <c r="M41" s="120"/>
      <c r="N41" s="32"/>
      <c r="O41" s="116">
        <f>ROUND(L_TotalAllow*L_CostIndex,2)</f>
        <v>0</v>
      </c>
    </row>
    <row r="42" spans="10:15" ht="9.75" customHeight="1">
      <c r="J42" s="10"/>
      <c r="K42" s="119"/>
      <c r="L42" s="119"/>
      <c r="M42" s="120"/>
      <c r="N42" s="32"/>
      <c r="O42" s="117"/>
    </row>
    <row r="43" spans="9:16" s="10" customFormat="1" ht="12">
      <c r="I43" s="11"/>
      <c r="J43" s="5"/>
      <c r="L43" s="12"/>
      <c r="M43" s="12"/>
      <c r="O43" s="13"/>
      <c r="P43" s="9"/>
    </row>
  </sheetData>
  <sheetProtection password="DB01" sheet="1" objects="1" scenarios="1"/>
  <mergeCells count="29">
    <mergeCell ref="E22:G22"/>
    <mergeCell ref="I22:K22"/>
    <mergeCell ref="A20:B20"/>
    <mergeCell ref="A25:I25"/>
    <mergeCell ref="B3:C3"/>
    <mergeCell ref="B8:C8"/>
    <mergeCell ref="G10:I10"/>
    <mergeCell ref="G11:I11"/>
    <mergeCell ref="A1:G1"/>
    <mergeCell ref="K41:M42"/>
    <mergeCell ref="D34:H34"/>
    <mergeCell ref="B33:H33"/>
    <mergeCell ref="G12:I12"/>
    <mergeCell ref="B22:C22"/>
    <mergeCell ref="E28:G28"/>
    <mergeCell ref="B23:C23"/>
    <mergeCell ref="E23:G23"/>
    <mergeCell ref="I23:K23"/>
    <mergeCell ref="B28:C28"/>
    <mergeCell ref="E27:G27"/>
    <mergeCell ref="I28:K28"/>
    <mergeCell ref="O41:O42"/>
    <mergeCell ref="A31:G31"/>
    <mergeCell ref="I33:K33"/>
    <mergeCell ref="B34:C34"/>
    <mergeCell ref="I34:K34"/>
    <mergeCell ref="B29:C29"/>
    <mergeCell ref="E29:G29"/>
    <mergeCell ref="I29:K29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7109375" style="59" customWidth="1"/>
    <col min="2" max="2" width="28.28125" style="58" bestFit="1" customWidth="1"/>
    <col min="3" max="4" width="10.7109375" style="58" customWidth="1"/>
    <col min="5" max="16384" width="9.140625" style="58" customWidth="1"/>
  </cols>
  <sheetData>
    <row r="1" spans="1:5" ht="15.75">
      <c r="A1" s="93" t="s">
        <v>34</v>
      </c>
      <c r="B1" s="93"/>
      <c r="C1" s="93"/>
      <c r="D1" s="93"/>
      <c r="E1" s="57"/>
    </row>
    <row r="2" spans="1:5" ht="12.75">
      <c r="A2" s="56"/>
      <c r="B2" s="56"/>
      <c r="C2" s="57"/>
      <c r="D2" s="57"/>
      <c r="E2" s="57"/>
    </row>
    <row r="3" spans="1:3" ht="15" customHeight="1">
      <c r="A3" s="139" t="s">
        <v>48</v>
      </c>
      <c r="B3" s="139"/>
      <c r="C3" s="123"/>
    </row>
    <row r="4" s="89" customFormat="1" ht="11.25"/>
    <row r="5" spans="1:3" ht="16.5" customHeight="1">
      <c r="A5" s="59" t="s">
        <v>45</v>
      </c>
      <c r="B5" s="58" t="s">
        <v>35</v>
      </c>
      <c r="C5" s="88">
        <f>ROUND(C_Hours*60+C_Minutes,0)</f>
        <v>0</v>
      </c>
    </row>
    <row r="6" spans="1:3" ht="16.5" customHeight="1">
      <c r="A6" s="60"/>
      <c r="B6" s="58" t="s">
        <v>98</v>
      </c>
      <c r="C6" s="65"/>
    </row>
    <row r="7" spans="1:3" ht="16.5" customHeight="1">
      <c r="A7" s="60"/>
      <c r="B7" s="58" t="s">
        <v>99</v>
      </c>
      <c r="C7" s="65"/>
    </row>
    <row r="8" spans="1:3" ht="16.5" customHeight="1">
      <c r="A8" s="59">
        <v>2</v>
      </c>
      <c r="B8" s="58" t="s">
        <v>24</v>
      </c>
      <c r="C8" s="65"/>
    </row>
    <row r="9" spans="1:3" ht="16.5" customHeight="1">
      <c r="A9" s="59">
        <v>3</v>
      </c>
      <c r="B9" s="58" t="s">
        <v>36</v>
      </c>
      <c r="C9" s="84">
        <f>ROUND((CongMinDay*C_Days)/60,2)</f>
        <v>0</v>
      </c>
    </row>
    <row r="10" spans="1:3" ht="16.5" customHeight="1">
      <c r="A10" s="59">
        <v>4</v>
      </c>
      <c r="B10" s="58" t="s">
        <v>37</v>
      </c>
      <c r="C10" s="66"/>
    </row>
    <row r="11" spans="1:3" ht="16.5" customHeight="1">
      <c r="A11" s="59">
        <v>5</v>
      </c>
      <c r="B11" s="58" t="s">
        <v>38</v>
      </c>
      <c r="C11" s="85"/>
    </row>
    <row r="12" spans="1:3" ht="16.5" customHeight="1">
      <c r="A12" s="59">
        <v>6</v>
      </c>
      <c r="B12" s="58" t="s">
        <v>39</v>
      </c>
      <c r="C12" s="86">
        <f>DailyMilesWith+DailyMilesWithout</f>
        <v>0</v>
      </c>
    </row>
    <row r="13" spans="1:3" ht="16.5" customHeight="1">
      <c r="A13" s="59">
        <v>7</v>
      </c>
      <c r="B13" s="58" t="s">
        <v>40</v>
      </c>
      <c r="C13" s="86">
        <f>ROUND(C_Days*TotalDailyMiles,1)</f>
        <v>0</v>
      </c>
    </row>
    <row r="14" spans="1:3" ht="16.5" customHeight="1">
      <c r="A14" s="59">
        <v>8</v>
      </c>
      <c r="B14" s="58" t="s">
        <v>41</v>
      </c>
      <c r="C14" s="84">
        <f>TRUNC(TotalAnnMiles/15,2)</f>
        <v>0</v>
      </c>
    </row>
    <row r="15" spans="1:4" ht="16.5" customHeight="1">
      <c r="A15" s="59">
        <v>9</v>
      </c>
      <c r="B15" s="58" t="s">
        <v>42</v>
      </c>
      <c r="C15" s="87"/>
      <c r="D15" s="84">
        <f>MAX(AnnCongHrs-MaxAnnDrHrs,0)</f>
        <v>0</v>
      </c>
    </row>
    <row r="16" spans="4:5" ht="15" customHeight="1">
      <c r="D16" s="62"/>
      <c r="E16" s="62"/>
    </row>
    <row r="17" ht="15" customHeight="1">
      <c r="D17" s="63"/>
    </row>
    <row r="19" spans="1:4" ht="15" customHeight="1">
      <c r="A19" s="139" t="s">
        <v>49</v>
      </c>
      <c r="B19" s="140"/>
      <c r="C19" s="140"/>
      <c r="D19" s="64"/>
    </row>
    <row r="20" s="89" customFormat="1" ht="11.25"/>
    <row r="21" spans="1:3" ht="16.5" customHeight="1">
      <c r="A21" s="59" t="s">
        <v>45</v>
      </c>
      <c r="B21" s="58" t="s">
        <v>43</v>
      </c>
      <c r="C21" s="88">
        <f>ROUND(L_Hours*60+L_Minutes,0)</f>
        <v>0</v>
      </c>
    </row>
    <row r="22" spans="1:3" ht="16.5" customHeight="1">
      <c r="A22" s="60"/>
      <c r="B22" s="58" t="s">
        <v>46</v>
      </c>
      <c r="C22" s="65"/>
    </row>
    <row r="23" spans="1:3" ht="16.5" customHeight="1">
      <c r="A23" s="60"/>
      <c r="B23" s="58" t="s">
        <v>47</v>
      </c>
      <c r="C23" s="65"/>
    </row>
    <row r="24" spans="1:3" ht="16.5" customHeight="1">
      <c r="A24" s="59">
        <v>2</v>
      </c>
      <c r="B24" s="58" t="s">
        <v>24</v>
      </c>
      <c r="C24" s="65"/>
    </row>
    <row r="25" spans="1:4" ht="16.5" customHeight="1">
      <c r="A25" s="59">
        <v>3</v>
      </c>
      <c r="B25" s="58" t="s">
        <v>44</v>
      </c>
      <c r="D25" s="61">
        <f>ROUND((LayMinDay*L_Days)/60,2)</f>
        <v>0</v>
      </c>
    </row>
    <row r="27" spans="1:4" s="83" customFormat="1" ht="16.5" customHeight="1">
      <c r="A27" s="137" t="s">
        <v>50</v>
      </c>
      <c r="B27" s="138"/>
      <c r="C27" s="138"/>
      <c r="D27" s="90">
        <f>ROUND(ReimbCongHrs+ReimbLayHrs,1)</f>
        <v>0</v>
      </c>
    </row>
  </sheetData>
  <sheetProtection password="DB01" sheet="1" objects="1" scenarios="1"/>
  <mergeCells count="4">
    <mergeCell ref="A27:C27"/>
    <mergeCell ref="A3:C3"/>
    <mergeCell ref="A19:C19"/>
    <mergeCell ref="A1:D1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Barbara Nelson</Manager>
  <Company>Pennsylvania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Formula Allowance Worksheet</dc:title>
  <dc:subject/>
  <dc:creator>Benjamin Hanft / Jennifer Hobart</dc:creator>
  <cp:keywords/>
  <dc:description/>
  <cp:lastModifiedBy>Heimbach, Bunne</cp:lastModifiedBy>
  <cp:lastPrinted>2008-10-09T13:49:54Z</cp:lastPrinted>
  <dcterms:created xsi:type="dcterms:W3CDTF">2003-11-17T20:02:29Z</dcterms:created>
  <dcterms:modified xsi:type="dcterms:W3CDTF">2015-02-25T14:46:23Z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xd_Signatu">
    <vt:lpwstr/>
  </property>
  <property fmtid="{D5CDD505-2E9C-101B-9397-08002B2CF9AE}" pid="5" name="Ord">
    <vt:lpwstr>286600.000000000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Catego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